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 firstSheet="2" activeTab="4"/>
  </bookViews>
  <sheets>
    <sheet name="PRIJEVODI" sheetId="6" r:id="rId1"/>
    <sheet name="NASLOV" sheetId="7" r:id="rId2"/>
    <sheet name="I-RA" sheetId="1" r:id="rId3"/>
    <sheet name="IC Aq" sheetId="8" r:id="rId4"/>
    <sheet name="U-RA" sheetId="2" r:id="rId5"/>
    <sheet name="INOPPO" sheetId="10" r:id="rId6"/>
    <sheet name="PDV" sheetId="5" r:id="rId7"/>
    <sheet name="URA_75(2)" sheetId="9" r:id="rId8"/>
    <sheet name="ZP" sheetId="3" r:id="rId9"/>
    <sheet name="PDV-S" sheetId="4" r:id="rId10"/>
    <sheet name="FX082020" sheetId="11" r:id="rId11"/>
    <sheet name="Nicht anerkannt" sheetId="13" r:id="rId12"/>
  </sheets>
  <externalReferences>
    <externalReference r:id="rId13"/>
    <externalReference r:id="rId14"/>
    <externalReference r:id="rId15"/>
    <externalReference r:id="rId16"/>
  </externalReferences>
  <definedNames>
    <definedName name="_xlnm.Print_Area" localSheetId="3">'IC Aq'!$A$1:$V$145</definedName>
    <definedName name="_xlnm.Print_Area" localSheetId="2">'I-RA'!$A$1:$X$152</definedName>
    <definedName name="_xlnm.Print_Area" localSheetId="6">PDV!$A$2:$E$73</definedName>
    <definedName name="_xlnm.Print_Area" localSheetId="4">'U-RA'!$A:$X</definedName>
  </definedNames>
  <calcPr calcId="145621"/>
</workbook>
</file>

<file path=xl/calcChain.xml><?xml version="1.0" encoding="utf-8"?>
<calcChain xmlns="http://schemas.openxmlformats.org/spreadsheetml/2006/main">
  <c r="K88" i="8" l="1"/>
  <c r="J88" i="8"/>
  <c r="S230" i="2"/>
  <c r="R230" i="2"/>
  <c r="Q230" i="2"/>
  <c r="P230" i="2"/>
  <c r="O230" i="2"/>
  <c r="N230" i="2"/>
  <c r="M230" i="2"/>
  <c r="K230" i="2"/>
  <c r="J230" i="2"/>
  <c r="I230" i="2"/>
  <c r="N217" i="2"/>
  <c r="P217" i="2"/>
  <c r="R217" i="2"/>
  <c r="N218" i="2"/>
  <c r="P218" i="2"/>
  <c r="R218" i="2"/>
  <c r="N219" i="2"/>
  <c r="P219" i="2"/>
  <c r="M219" i="2" s="1"/>
  <c r="R219" i="2"/>
  <c r="N220" i="2"/>
  <c r="P220" i="2"/>
  <c r="R220" i="2"/>
  <c r="N221" i="2"/>
  <c r="P221" i="2"/>
  <c r="R221" i="2"/>
  <c r="N222" i="2"/>
  <c r="P222" i="2"/>
  <c r="R222" i="2"/>
  <c r="N223" i="2"/>
  <c r="M223" i="2" s="1"/>
  <c r="K223" i="2" s="1"/>
  <c r="P223" i="2"/>
  <c r="R223" i="2"/>
  <c r="N224" i="2"/>
  <c r="P224" i="2"/>
  <c r="M224" i="2" s="1"/>
  <c r="K224" i="2" s="1"/>
  <c r="R224" i="2"/>
  <c r="N225" i="2"/>
  <c r="M225" i="2" s="1"/>
  <c r="K225" i="2" s="1"/>
  <c r="P225" i="2"/>
  <c r="R225" i="2"/>
  <c r="N226" i="2"/>
  <c r="P226" i="2"/>
  <c r="R226" i="2"/>
  <c r="N227" i="2"/>
  <c r="P227" i="2"/>
  <c r="M227" i="2" s="1"/>
  <c r="K227" i="2" s="1"/>
  <c r="R227" i="2"/>
  <c r="R214" i="2"/>
  <c r="P214" i="2"/>
  <c r="N214" i="2"/>
  <c r="N207" i="2"/>
  <c r="P207" i="2"/>
  <c r="M207" i="2" s="1"/>
  <c r="K207" i="2" s="1"/>
  <c r="R207" i="2"/>
  <c r="N208" i="2"/>
  <c r="P208" i="2"/>
  <c r="R208" i="2"/>
  <c r="N209" i="2"/>
  <c r="M209" i="2" s="1"/>
  <c r="P209" i="2"/>
  <c r="R209" i="2"/>
  <c r="N210" i="2"/>
  <c r="M210" i="2" s="1"/>
  <c r="P210" i="2"/>
  <c r="R210" i="2"/>
  <c r="N211" i="2"/>
  <c r="M211" i="2" s="1"/>
  <c r="K211" i="2" s="1"/>
  <c r="P211" i="2"/>
  <c r="R211" i="2"/>
  <c r="N212" i="2"/>
  <c r="P212" i="2"/>
  <c r="R212" i="2"/>
  <c r="N213" i="2"/>
  <c r="P213" i="2"/>
  <c r="R213" i="2"/>
  <c r="N215" i="2"/>
  <c r="P215" i="2"/>
  <c r="M215" i="2" s="1"/>
  <c r="K215" i="2" s="1"/>
  <c r="R215" i="2"/>
  <c r="N216" i="2"/>
  <c r="P216" i="2"/>
  <c r="R216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M181" i="2" s="1"/>
  <c r="K181" i="2" s="1"/>
  <c r="N182" i="2"/>
  <c r="N183" i="2"/>
  <c r="M183" i="2" s="1"/>
  <c r="N184" i="2"/>
  <c r="N185" i="2"/>
  <c r="N186" i="2"/>
  <c r="N187" i="2"/>
  <c r="N188" i="2"/>
  <c r="N189" i="2"/>
  <c r="N190" i="2"/>
  <c r="N191" i="2"/>
  <c r="M191" i="2" s="1"/>
  <c r="K191" i="2" s="1"/>
  <c r="N192" i="2"/>
  <c r="N193" i="2"/>
  <c r="N194" i="2"/>
  <c r="N195" i="2"/>
  <c r="N196" i="2"/>
  <c r="N197" i="2"/>
  <c r="N198" i="2"/>
  <c r="N199" i="2"/>
  <c r="N200" i="2"/>
  <c r="N201" i="2"/>
  <c r="M201" i="2" s="1"/>
  <c r="K201" i="2" s="1"/>
  <c r="N202" i="2"/>
  <c r="N203" i="2"/>
  <c r="N204" i="2"/>
  <c r="N205" i="2"/>
  <c r="N206" i="2"/>
  <c r="N29" i="2"/>
  <c r="N30" i="2"/>
  <c r="N31" i="2"/>
  <c r="N32" i="2"/>
  <c r="N33" i="2"/>
  <c r="P31" i="2"/>
  <c r="R206" i="2"/>
  <c r="M206" i="2" s="1"/>
  <c r="K206" i="2" s="1"/>
  <c r="P206" i="2"/>
  <c r="P199" i="2"/>
  <c r="M199" i="2" s="1"/>
  <c r="R199" i="2"/>
  <c r="P200" i="2"/>
  <c r="R200" i="2"/>
  <c r="M200" i="2" s="1"/>
  <c r="K200" i="2" s="1"/>
  <c r="P201" i="2"/>
  <c r="R201" i="2"/>
  <c r="M202" i="2"/>
  <c r="K202" i="2" s="1"/>
  <c r="P202" i="2"/>
  <c r="R202" i="2"/>
  <c r="M203" i="2"/>
  <c r="K203" i="2" s="1"/>
  <c r="P203" i="2"/>
  <c r="R203" i="2"/>
  <c r="M204" i="2"/>
  <c r="K204" i="2" s="1"/>
  <c r="P204" i="2"/>
  <c r="R204" i="2"/>
  <c r="M205" i="2"/>
  <c r="K205" i="2" s="1"/>
  <c r="P205" i="2"/>
  <c r="R205" i="2"/>
  <c r="R195" i="2"/>
  <c r="R196" i="2"/>
  <c r="R197" i="2"/>
  <c r="R198" i="2"/>
  <c r="R194" i="2"/>
  <c r="P196" i="2"/>
  <c r="M196" i="2" s="1"/>
  <c r="K196" i="2" s="1"/>
  <c r="P179" i="2"/>
  <c r="R179" i="2"/>
  <c r="M180" i="2"/>
  <c r="K180" i="2" s="1"/>
  <c r="P180" i="2"/>
  <c r="R180" i="2"/>
  <c r="P181" i="2"/>
  <c r="R181" i="2"/>
  <c r="P182" i="2"/>
  <c r="R182" i="2"/>
  <c r="M182" i="2" s="1"/>
  <c r="K182" i="2" s="1"/>
  <c r="P183" i="2"/>
  <c r="R183" i="2"/>
  <c r="P184" i="2"/>
  <c r="M184" i="2" s="1"/>
  <c r="K184" i="2" s="1"/>
  <c r="R184" i="2"/>
  <c r="P185" i="2"/>
  <c r="R185" i="2"/>
  <c r="M185" i="2" s="1"/>
  <c r="K185" i="2" s="1"/>
  <c r="P186" i="2"/>
  <c r="M186" i="2" s="1"/>
  <c r="K186" i="2" s="1"/>
  <c r="R186" i="2"/>
  <c r="P187" i="2"/>
  <c r="M187" i="2" s="1"/>
  <c r="K187" i="2" s="1"/>
  <c r="R187" i="2"/>
  <c r="P188" i="2"/>
  <c r="R188" i="2"/>
  <c r="M188" i="2" s="1"/>
  <c r="P189" i="2"/>
  <c r="R189" i="2"/>
  <c r="P190" i="2"/>
  <c r="R190" i="2"/>
  <c r="P191" i="2"/>
  <c r="R191" i="2"/>
  <c r="P192" i="2"/>
  <c r="M192" i="2" s="1"/>
  <c r="K192" i="2" s="1"/>
  <c r="R192" i="2"/>
  <c r="P193" i="2"/>
  <c r="R193" i="2"/>
  <c r="P194" i="2"/>
  <c r="M194" i="2" s="1"/>
  <c r="K194" i="2" s="1"/>
  <c r="P195" i="2"/>
  <c r="M197" i="2"/>
  <c r="K197" i="2" s="1"/>
  <c r="P197" i="2"/>
  <c r="P198" i="2"/>
  <c r="M198" i="2" s="1"/>
  <c r="K198" i="2" s="1"/>
  <c r="M193" i="2" l="1"/>
  <c r="K193" i="2" s="1"/>
  <c r="M190" i="2"/>
  <c r="K190" i="2" s="1"/>
  <c r="M208" i="2"/>
  <c r="K208" i="2" s="1"/>
  <c r="M214" i="2"/>
  <c r="K214" i="2" s="1"/>
  <c r="M226" i="2"/>
  <c r="K226" i="2" s="1"/>
  <c r="M222" i="2"/>
  <c r="K222" i="2" s="1"/>
  <c r="M218" i="2"/>
  <c r="K218" i="2" s="1"/>
  <c r="M195" i="2"/>
  <c r="K195" i="2" s="1"/>
  <c r="M179" i="2"/>
  <c r="M213" i="2"/>
  <c r="K213" i="2" s="1"/>
  <c r="M189" i="2"/>
  <c r="K189" i="2" s="1"/>
  <c r="M216" i="2"/>
  <c r="K216" i="2" s="1"/>
  <c r="M221" i="2"/>
  <c r="K221" i="2" s="1"/>
  <c r="M217" i="2"/>
  <c r="K217" i="2" s="1"/>
  <c r="M220" i="2"/>
  <c r="K220" i="2" s="1"/>
  <c r="K219" i="2"/>
  <c r="M212" i="2"/>
  <c r="K209" i="2"/>
  <c r="K179" i="2"/>
  <c r="P163" i="2"/>
  <c r="M163" i="2" s="1"/>
  <c r="K163" i="2" s="1"/>
  <c r="R163" i="2"/>
  <c r="P164" i="2"/>
  <c r="R164" i="2"/>
  <c r="P165" i="2"/>
  <c r="M165" i="2" s="1"/>
  <c r="K165" i="2" s="1"/>
  <c r="R165" i="2"/>
  <c r="P166" i="2"/>
  <c r="R166" i="2"/>
  <c r="P167" i="2"/>
  <c r="R167" i="2"/>
  <c r="P168" i="2"/>
  <c r="R168" i="2"/>
  <c r="P169" i="2"/>
  <c r="M169" i="2" s="1"/>
  <c r="K169" i="2" s="1"/>
  <c r="R169" i="2"/>
  <c r="P170" i="2"/>
  <c r="R170" i="2"/>
  <c r="P171" i="2"/>
  <c r="M171" i="2" s="1"/>
  <c r="K171" i="2" s="1"/>
  <c r="R171" i="2"/>
  <c r="P172" i="2"/>
  <c r="R172" i="2"/>
  <c r="P173" i="2"/>
  <c r="M173" i="2" s="1"/>
  <c r="K173" i="2" s="1"/>
  <c r="R173" i="2"/>
  <c r="P174" i="2"/>
  <c r="R174" i="2"/>
  <c r="P175" i="2"/>
  <c r="M175" i="2" s="1"/>
  <c r="K175" i="2" s="1"/>
  <c r="R175" i="2"/>
  <c r="P176" i="2"/>
  <c r="R176" i="2"/>
  <c r="P177" i="2"/>
  <c r="M177" i="2" s="1"/>
  <c r="K177" i="2" s="1"/>
  <c r="R177" i="2"/>
  <c r="P178" i="2"/>
  <c r="R178" i="2"/>
  <c r="J70" i="8"/>
  <c r="R70" i="8" s="1"/>
  <c r="M70" i="8" s="1"/>
  <c r="J71" i="8"/>
  <c r="J72" i="8"/>
  <c r="R72" i="8" s="1"/>
  <c r="M72" i="8" s="1"/>
  <c r="J73" i="8"/>
  <c r="J74" i="8"/>
  <c r="R74" i="8" s="1"/>
  <c r="M74" i="8" s="1"/>
  <c r="J75" i="8"/>
  <c r="J76" i="8"/>
  <c r="R76" i="8"/>
  <c r="M76" i="8" s="1"/>
  <c r="J77" i="8"/>
  <c r="J78" i="8"/>
  <c r="R78" i="8" s="1"/>
  <c r="M78" i="8" s="1"/>
  <c r="J79" i="8"/>
  <c r="J80" i="8"/>
  <c r="R80" i="8" s="1"/>
  <c r="M80" i="8" s="1"/>
  <c r="J81" i="8"/>
  <c r="J82" i="8"/>
  <c r="R82" i="8" s="1"/>
  <c r="M82" i="8" s="1"/>
  <c r="J83" i="8"/>
  <c r="J84" i="8"/>
  <c r="R84" i="8" s="1"/>
  <c r="M84" i="8" s="1"/>
  <c r="J85" i="8"/>
  <c r="J86" i="8"/>
  <c r="R86" i="8" s="1"/>
  <c r="M86" i="8" s="1"/>
  <c r="J87" i="8"/>
  <c r="H93" i="1"/>
  <c r="H72" i="1"/>
  <c r="V72" i="1"/>
  <c r="V82" i="1"/>
  <c r="H82" i="1" s="1"/>
  <c r="V81" i="1"/>
  <c r="H81" i="1" s="1"/>
  <c r="V80" i="1"/>
  <c r="H80" i="1" s="1"/>
  <c r="V79" i="1"/>
  <c r="H79" i="1" s="1"/>
  <c r="V78" i="1"/>
  <c r="H78" i="1"/>
  <c r="V83" i="1"/>
  <c r="H83" i="1" s="1"/>
  <c r="V87" i="1"/>
  <c r="H87" i="1" s="1"/>
  <c r="V88" i="1"/>
  <c r="V89" i="1"/>
  <c r="H89" i="1" s="1"/>
  <c r="V90" i="1"/>
  <c r="H90" i="1" s="1"/>
  <c r="H84" i="1"/>
  <c r="H85" i="1"/>
  <c r="H86" i="1"/>
  <c r="H88" i="1"/>
  <c r="H68" i="1"/>
  <c r="H69" i="1"/>
  <c r="H70" i="1"/>
  <c r="H71" i="1"/>
  <c r="V73" i="1"/>
  <c r="H73" i="1" s="1"/>
  <c r="V74" i="1"/>
  <c r="H74" i="1" s="1"/>
  <c r="V75" i="1"/>
  <c r="H75" i="1" s="1"/>
  <c r="V76" i="1"/>
  <c r="H76" i="1" s="1"/>
  <c r="V77" i="1"/>
  <c r="H77" i="1" s="1"/>
  <c r="M178" i="2" l="1"/>
  <c r="K178" i="2" s="1"/>
  <c r="M176" i="2"/>
  <c r="K176" i="2" s="1"/>
  <c r="M174" i="2"/>
  <c r="K174" i="2" s="1"/>
  <c r="M172" i="2"/>
  <c r="K172" i="2" s="1"/>
  <c r="M170" i="2"/>
  <c r="K170" i="2" s="1"/>
  <c r="M168" i="2"/>
  <c r="K168" i="2" s="1"/>
  <c r="M166" i="2"/>
  <c r="K166" i="2" s="1"/>
  <c r="M164" i="2"/>
  <c r="K164" i="2" s="1"/>
  <c r="K212" i="2"/>
  <c r="M167" i="2"/>
  <c r="K167" i="2" s="1"/>
  <c r="K79" i="8"/>
  <c r="R87" i="8"/>
  <c r="M87" i="8" s="1"/>
  <c r="K87" i="8" s="1"/>
  <c r="R85" i="8"/>
  <c r="M85" i="8" s="1"/>
  <c r="K85" i="8" s="1"/>
  <c r="R83" i="8"/>
  <c r="M83" i="8" s="1"/>
  <c r="K83" i="8" s="1"/>
  <c r="R81" i="8"/>
  <c r="M81" i="8" s="1"/>
  <c r="K81" i="8" s="1"/>
  <c r="R79" i="8"/>
  <c r="M79" i="8" s="1"/>
  <c r="R77" i="8"/>
  <c r="M77" i="8" s="1"/>
  <c r="K77" i="8" s="1"/>
  <c r="R75" i="8"/>
  <c r="M75" i="8" s="1"/>
  <c r="K75" i="8" s="1"/>
  <c r="R73" i="8"/>
  <c r="M73" i="8" s="1"/>
  <c r="K73" i="8" s="1"/>
  <c r="R71" i="8"/>
  <c r="M71" i="8" s="1"/>
  <c r="K71" i="8" s="1"/>
  <c r="K86" i="8"/>
  <c r="K84" i="8"/>
  <c r="K82" i="8"/>
  <c r="K80" i="8"/>
  <c r="K78" i="8"/>
  <c r="K76" i="8"/>
  <c r="K74" i="8"/>
  <c r="K72" i="8"/>
  <c r="K70" i="8"/>
  <c r="P154" i="2"/>
  <c r="R154" i="2"/>
  <c r="P155" i="2"/>
  <c r="M155" i="2" s="1"/>
  <c r="K155" i="2" s="1"/>
  <c r="R155" i="2"/>
  <c r="P156" i="2"/>
  <c r="R156" i="2"/>
  <c r="P157" i="2"/>
  <c r="M157" i="2" s="1"/>
  <c r="K157" i="2" s="1"/>
  <c r="R157" i="2"/>
  <c r="P158" i="2"/>
  <c r="R158" i="2"/>
  <c r="P159" i="2"/>
  <c r="M159" i="2" s="1"/>
  <c r="K159" i="2" s="1"/>
  <c r="R159" i="2"/>
  <c r="P160" i="2"/>
  <c r="R160" i="2"/>
  <c r="P161" i="2"/>
  <c r="M161" i="2" s="1"/>
  <c r="K161" i="2" s="1"/>
  <c r="R161" i="2"/>
  <c r="P162" i="2"/>
  <c r="R162" i="2"/>
  <c r="M158" i="2" l="1"/>
  <c r="K158" i="2" s="1"/>
  <c r="M154" i="2"/>
  <c r="K154" i="2" s="1"/>
  <c r="M160" i="2"/>
  <c r="K160" i="2" s="1"/>
  <c r="M156" i="2"/>
  <c r="K156" i="2" s="1"/>
  <c r="M162" i="2"/>
  <c r="V67" i="1"/>
  <c r="H67" i="1" s="1"/>
  <c r="V66" i="1"/>
  <c r="H66" i="1" s="1"/>
  <c r="V65" i="1"/>
  <c r="H65" i="1" s="1"/>
  <c r="V64" i="1"/>
  <c r="H64" i="1" s="1"/>
  <c r="V63" i="1"/>
  <c r="H63" i="1" s="1"/>
  <c r="V62" i="1"/>
  <c r="H62" i="1" s="1"/>
  <c r="V61" i="1"/>
  <c r="H61" i="1" s="1"/>
  <c r="V60" i="1"/>
  <c r="H60" i="1" s="1"/>
  <c r="V59" i="1"/>
  <c r="H59" i="1" s="1"/>
  <c r="V58" i="1"/>
  <c r="H58" i="1" s="1"/>
  <c r="K162" i="2" l="1"/>
  <c r="V57" i="1"/>
  <c r="H57" i="1" s="1"/>
  <c r="V44" i="1"/>
  <c r="H44" i="1" s="1"/>
  <c r="U41" i="1"/>
  <c r="H41" i="1" s="1"/>
  <c r="U42" i="1"/>
  <c r="H42" i="1" s="1"/>
  <c r="U40" i="1"/>
  <c r="H40" i="1" s="1"/>
  <c r="P133" i="2"/>
  <c r="R133" i="2"/>
  <c r="P134" i="2"/>
  <c r="R134" i="2"/>
  <c r="P135" i="2"/>
  <c r="R135" i="2"/>
  <c r="P136" i="2"/>
  <c r="R136" i="2"/>
  <c r="P137" i="2"/>
  <c r="R137" i="2"/>
  <c r="P138" i="2"/>
  <c r="R138" i="2"/>
  <c r="P139" i="2"/>
  <c r="R139" i="2"/>
  <c r="P140" i="2"/>
  <c r="R140" i="2"/>
  <c r="P141" i="2"/>
  <c r="R141" i="2"/>
  <c r="P142" i="2"/>
  <c r="R142" i="2"/>
  <c r="P143" i="2"/>
  <c r="R143" i="2"/>
  <c r="P144" i="2"/>
  <c r="R144" i="2"/>
  <c r="P145" i="2"/>
  <c r="R145" i="2"/>
  <c r="P146" i="2"/>
  <c r="R146" i="2"/>
  <c r="P147" i="2"/>
  <c r="R147" i="2"/>
  <c r="P148" i="2"/>
  <c r="R148" i="2"/>
  <c r="P149" i="2"/>
  <c r="R149" i="2"/>
  <c r="P150" i="2"/>
  <c r="R150" i="2"/>
  <c r="P151" i="2"/>
  <c r="R151" i="2"/>
  <c r="P152" i="2"/>
  <c r="R152" i="2"/>
  <c r="P153" i="2"/>
  <c r="R153" i="2"/>
  <c r="J56" i="8"/>
  <c r="J57" i="8"/>
  <c r="R57" i="8" s="1"/>
  <c r="M57" i="8" s="1"/>
  <c r="K57" i="8" s="1"/>
  <c r="J58" i="8"/>
  <c r="R58" i="8" s="1"/>
  <c r="M58" i="8" s="1"/>
  <c r="K58" i="8" s="1"/>
  <c r="J59" i="8"/>
  <c r="R59" i="8" s="1"/>
  <c r="M59" i="8" s="1"/>
  <c r="K59" i="8" s="1"/>
  <c r="J60" i="8"/>
  <c r="R60" i="8" s="1"/>
  <c r="M60" i="8" s="1"/>
  <c r="K60" i="8" s="1"/>
  <c r="J61" i="8"/>
  <c r="R61" i="8" s="1"/>
  <c r="M61" i="8" s="1"/>
  <c r="K61" i="8" s="1"/>
  <c r="J62" i="8"/>
  <c r="R62" i="8" s="1"/>
  <c r="M62" i="8" s="1"/>
  <c r="K62" i="8" s="1"/>
  <c r="J63" i="8"/>
  <c r="R63" i="8" s="1"/>
  <c r="M63" i="8" s="1"/>
  <c r="K63" i="8" s="1"/>
  <c r="J64" i="8"/>
  <c r="R64" i="8" s="1"/>
  <c r="M64" i="8" s="1"/>
  <c r="K64" i="8" s="1"/>
  <c r="J65" i="8"/>
  <c r="R65" i="8" s="1"/>
  <c r="M65" i="8" s="1"/>
  <c r="K65" i="8" s="1"/>
  <c r="J66" i="8"/>
  <c r="R66" i="8" s="1"/>
  <c r="M66" i="8" s="1"/>
  <c r="K66" i="8" s="1"/>
  <c r="J67" i="8"/>
  <c r="R67" i="8" s="1"/>
  <c r="M67" i="8" s="1"/>
  <c r="K67" i="8" s="1"/>
  <c r="J68" i="8"/>
  <c r="R68" i="8" s="1"/>
  <c r="M68" i="8" s="1"/>
  <c r="K68" i="8" s="1"/>
  <c r="J69" i="8"/>
  <c r="R69" i="8" s="1"/>
  <c r="M69" i="8" s="1"/>
  <c r="K69" i="8" s="1"/>
  <c r="M152" i="2" l="1"/>
  <c r="K152" i="2" s="1"/>
  <c r="M148" i="2"/>
  <c r="K148" i="2" s="1"/>
  <c r="M147" i="2"/>
  <c r="K147" i="2" s="1"/>
  <c r="M150" i="2"/>
  <c r="K150" i="2" s="1"/>
  <c r="M153" i="2"/>
  <c r="M145" i="2"/>
  <c r="K145" i="2" s="1"/>
  <c r="M146" i="2"/>
  <c r="K146" i="2" s="1"/>
  <c r="R56" i="8"/>
  <c r="M56" i="8" s="1"/>
  <c r="K56" i="8" s="1"/>
  <c r="M151" i="2"/>
  <c r="K151" i="2" s="1"/>
  <c r="M149" i="2"/>
  <c r="K149" i="2" s="1"/>
  <c r="M138" i="2"/>
  <c r="K138" i="2" s="1"/>
  <c r="M144" i="2"/>
  <c r="K144" i="2" s="1"/>
  <c r="M142" i="2"/>
  <c r="K142" i="2" s="1"/>
  <c r="M140" i="2"/>
  <c r="K140" i="2" s="1"/>
  <c r="M136" i="2"/>
  <c r="K136" i="2" s="1"/>
  <c r="M134" i="2"/>
  <c r="K134" i="2" s="1"/>
  <c r="M143" i="2"/>
  <c r="K143" i="2" s="1"/>
  <c r="M141" i="2"/>
  <c r="K141" i="2" s="1"/>
  <c r="M139" i="2"/>
  <c r="K139" i="2" s="1"/>
  <c r="M137" i="2"/>
  <c r="K137" i="2" s="1"/>
  <c r="M135" i="2"/>
  <c r="K135" i="2" s="1"/>
  <c r="M133" i="2"/>
  <c r="K133" i="2" s="1"/>
  <c r="K153" i="2" l="1"/>
  <c r="P115" i="2"/>
  <c r="R115" i="2"/>
  <c r="P116" i="2"/>
  <c r="R116" i="2"/>
  <c r="P117" i="2"/>
  <c r="R117" i="2"/>
  <c r="P118" i="2"/>
  <c r="R118" i="2"/>
  <c r="P119" i="2"/>
  <c r="R119" i="2"/>
  <c r="P120" i="2"/>
  <c r="R120" i="2"/>
  <c r="M120" i="2" s="1"/>
  <c r="K120" i="2" s="1"/>
  <c r="P121" i="2"/>
  <c r="M121" i="2" s="1"/>
  <c r="K121" i="2" s="1"/>
  <c r="R121" i="2"/>
  <c r="P122" i="2"/>
  <c r="R122" i="2"/>
  <c r="P123" i="2"/>
  <c r="R123" i="2"/>
  <c r="P124" i="2"/>
  <c r="M124" i="2" s="1"/>
  <c r="K124" i="2" s="1"/>
  <c r="R124" i="2"/>
  <c r="P125" i="2"/>
  <c r="R125" i="2"/>
  <c r="P126" i="2"/>
  <c r="R126" i="2"/>
  <c r="P127" i="2"/>
  <c r="R127" i="2"/>
  <c r="P128" i="2"/>
  <c r="M128" i="2" s="1"/>
  <c r="K128" i="2" s="1"/>
  <c r="R128" i="2"/>
  <c r="P129" i="2"/>
  <c r="R129" i="2"/>
  <c r="M129" i="2" s="1"/>
  <c r="K129" i="2" s="1"/>
  <c r="M130" i="2"/>
  <c r="K130" i="2" s="1"/>
  <c r="P130" i="2"/>
  <c r="R130" i="2"/>
  <c r="P131" i="2"/>
  <c r="R131" i="2"/>
  <c r="P132" i="2"/>
  <c r="R132" i="2"/>
  <c r="M132" i="2" s="1"/>
  <c r="K132" i="2" s="1"/>
  <c r="M119" i="2" l="1"/>
  <c r="K119" i="2" s="1"/>
  <c r="M115" i="2"/>
  <c r="K115" i="2" s="1"/>
  <c r="M122" i="2"/>
  <c r="K122" i="2" s="1"/>
  <c r="M127" i="2"/>
  <c r="K127" i="2" s="1"/>
  <c r="M118" i="2"/>
  <c r="K118" i="2" s="1"/>
  <c r="M116" i="2"/>
  <c r="K116" i="2" s="1"/>
  <c r="M126" i="2"/>
  <c r="K126" i="2" s="1"/>
  <c r="M125" i="2"/>
  <c r="K125" i="2" s="1"/>
  <c r="M123" i="2"/>
  <c r="K123" i="2" s="1"/>
  <c r="M117" i="2"/>
  <c r="K117" i="2" s="1"/>
  <c r="M131" i="2"/>
  <c r="P112" i="2"/>
  <c r="R112" i="2"/>
  <c r="P113" i="2"/>
  <c r="R113" i="2"/>
  <c r="P114" i="2"/>
  <c r="R114" i="2"/>
  <c r="U39" i="1"/>
  <c r="H39" i="1" s="1"/>
  <c r="U38" i="1"/>
  <c r="H38" i="1" s="1"/>
  <c r="H230" i="2"/>
  <c r="R111" i="2"/>
  <c r="P111" i="2"/>
  <c r="M111" i="2" s="1"/>
  <c r="K111" i="2" s="1"/>
  <c r="R108" i="2"/>
  <c r="P108" i="2"/>
  <c r="R107" i="2"/>
  <c r="P107" i="2"/>
  <c r="M107" i="2" s="1"/>
  <c r="K107" i="2" s="1"/>
  <c r="R106" i="2"/>
  <c r="P106" i="2"/>
  <c r="M106" i="2" s="1"/>
  <c r="K106" i="2" s="1"/>
  <c r="R105" i="2"/>
  <c r="P105" i="2"/>
  <c r="P109" i="2"/>
  <c r="R109" i="2"/>
  <c r="P110" i="2"/>
  <c r="R110" i="2"/>
  <c r="M110" i="2" l="1"/>
  <c r="K110" i="2" s="1"/>
  <c r="M114" i="2"/>
  <c r="K114" i="2" s="1"/>
  <c r="M112" i="2"/>
  <c r="K112" i="2" s="1"/>
  <c r="K131" i="2"/>
  <c r="M113" i="2"/>
  <c r="K113" i="2" s="1"/>
  <c r="M109" i="2"/>
  <c r="K109" i="2" s="1"/>
  <c r="M105" i="2"/>
  <c r="M108" i="2"/>
  <c r="K108" i="2" s="1"/>
  <c r="J50" i="8"/>
  <c r="R50" i="8" s="1"/>
  <c r="M50" i="8" s="1"/>
  <c r="J51" i="8"/>
  <c r="R51" i="8" s="1"/>
  <c r="M51" i="8" s="1"/>
  <c r="J52" i="8"/>
  <c r="R52" i="8" s="1"/>
  <c r="M52" i="8" s="1"/>
  <c r="J53" i="8"/>
  <c r="R53" i="8"/>
  <c r="M53" i="8" s="1"/>
  <c r="J54" i="8"/>
  <c r="R54" i="8" s="1"/>
  <c r="M54" i="8" s="1"/>
  <c r="J55" i="8"/>
  <c r="R104" i="2"/>
  <c r="P104" i="2"/>
  <c r="R103" i="2"/>
  <c r="P103" i="2"/>
  <c r="R102" i="2"/>
  <c r="P102" i="2"/>
  <c r="M102" i="2"/>
  <c r="K102" i="2" s="1"/>
  <c r="R101" i="2"/>
  <c r="P101" i="2"/>
  <c r="P97" i="2"/>
  <c r="R97" i="2"/>
  <c r="P98" i="2"/>
  <c r="R98" i="2"/>
  <c r="P99" i="2"/>
  <c r="R99" i="2"/>
  <c r="P100" i="2"/>
  <c r="R100" i="2"/>
  <c r="AM82" i="2"/>
  <c r="AK82" i="2"/>
  <c r="AH82" i="2" s="1"/>
  <c r="AF82" i="2" s="1"/>
  <c r="AM81" i="2"/>
  <c r="AK81" i="2"/>
  <c r="M104" i="2" l="1"/>
  <c r="K104" i="2" s="1"/>
  <c r="K105" i="2"/>
  <c r="AH81" i="2"/>
  <c r="AF81" i="2" s="1"/>
  <c r="M100" i="2"/>
  <c r="K100" i="2" s="1"/>
  <c r="M98" i="2"/>
  <c r="K98" i="2" s="1"/>
  <c r="M101" i="2"/>
  <c r="K101" i="2" s="1"/>
  <c r="R55" i="8"/>
  <c r="M99" i="2"/>
  <c r="K99" i="2" s="1"/>
  <c r="M97" i="2"/>
  <c r="K97" i="2" s="1"/>
  <c r="M103" i="2"/>
  <c r="K103" i="2" s="1"/>
  <c r="K51" i="8"/>
  <c r="K54" i="8"/>
  <c r="K52" i="8"/>
  <c r="K50" i="8"/>
  <c r="K53" i="8"/>
  <c r="P89" i="2"/>
  <c r="R89" i="2"/>
  <c r="P90" i="2"/>
  <c r="R90" i="2"/>
  <c r="P91" i="2"/>
  <c r="R91" i="2"/>
  <c r="P92" i="2"/>
  <c r="R92" i="2"/>
  <c r="P93" i="2"/>
  <c r="R93" i="2"/>
  <c r="P94" i="2"/>
  <c r="R94" i="2"/>
  <c r="P95" i="2"/>
  <c r="R95" i="2"/>
  <c r="P85" i="2"/>
  <c r="R85" i="2"/>
  <c r="P86" i="2"/>
  <c r="R86" i="2"/>
  <c r="P87" i="2"/>
  <c r="R87" i="2"/>
  <c r="P88" i="2"/>
  <c r="R88" i="2"/>
  <c r="M55" i="8" l="1"/>
  <c r="K55" i="8" s="1"/>
  <c r="M87" i="2"/>
  <c r="K87" i="2" s="1"/>
  <c r="M85" i="2"/>
  <c r="K85" i="2" s="1"/>
  <c r="M94" i="2"/>
  <c r="K94" i="2" s="1"/>
  <c r="M92" i="2"/>
  <c r="K92" i="2" s="1"/>
  <c r="M90" i="2"/>
  <c r="K90" i="2" s="1"/>
  <c r="M86" i="2"/>
  <c r="K86" i="2" s="1"/>
  <c r="M93" i="2"/>
  <c r="K93" i="2" s="1"/>
  <c r="M95" i="2"/>
  <c r="M89" i="2"/>
  <c r="K89" i="2" s="1"/>
  <c r="M88" i="2"/>
  <c r="K88" i="2" s="1"/>
  <c r="M91" i="2"/>
  <c r="K91" i="2" s="1"/>
  <c r="J43" i="8"/>
  <c r="J45" i="8"/>
  <c r="R45" i="8" s="1"/>
  <c r="M45" i="8" s="1"/>
  <c r="K45" i="8" s="1"/>
  <c r="J46" i="8"/>
  <c r="R46" i="8" s="1"/>
  <c r="M46" i="8" s="1"/>
  <c r="K46" i="8" s="1"/>
  <c r="J47" i="8"/>
  <c r="R47" i="8" s="1"/>
  <c r="M47" i="8" s="1"/>
  <c r="K47" i="8" s="1"/>
  <c r="J48" i="8"/>
  <c r="R48" i="8" s="1"/>
  <c r="M48" i="8" s="1"/>
  <c r="K48" i="8" s="1"/>
  <c r="J49" i="8"/>
  <c r="R49" i="8" s="1"/>
  <c r="M49" i="8" s="1"/>
  <c r="K49" i="8" s="1"/>
  <c r="J44" i="8"/>
  <c r="R44" i="8" s="1"/>
  <c r="M44" i="8" s="1"/>
  <c r="P76" i="2"/>
  <c r="R76" i="2"/>
  <c r="P77" i="2"/>
  <c r="R77" i="2"/>
  <c r="P78" i="2"/>
  <c r="R78" i="2"/>
  <c r="P79" i="2"/>
  <c r="R79" i="2"/>
  <c r="P80" i="2"/>
  <c r="R80" i="2"/>
  <c r="P81" i="2"/>
  <c r="R81" i="2"/>
  <c r="P82" i="2"/>
  <c r="R82" i="2"/>
  <c r="P83" i="2"/>
  <c r="R83" i="2"/>
  <c r="P84" i="2"/>
  <c r="R84" i="2"/>
  <c r="P96" i="2"/>
  <c r="R96" i="2"/>
  <c r="P75" i="2"/>
  <c r="R75" i="2"/>
  <c r="P61" i="2"/>
  <c r="R61" i="2"/>
  <c r="P62" i="2"/>
  <c r="R62" i="2"/>
  <c r="P63" i="2"/>
  <c r="R63" i="2"/>
  <c r="P64" i="2"/>
  <c r="R64" i="2"/>
  <c r="P65" i="2"/>
  <c r="R65" i="2"/>
  <c r="P66" i="2"/>
  <c r="R66" i="2"/>
  <c r="P67" i="2"/>
  <c r="R67" i="2"/>
  <c r="P68" i="2"/>
  <c r="R68" i="2"/>
  <c r="P69" i="2"/>
  <c r="R69" i="2"/>
  <c r="P70" i="2"/>
  <c r="R70" i="2"/>
  <c r="P71" i="2"/>
  <c r="R71" i="2"/>
  <c r="P72" i="2"/>
  <c r="R72" i="2"/>
  <c r="P73" i="2"/>
  <c r="R73" i="2"/>
  <c r="P74" i="2"/>
  <c r="R74" i="2"/>
  <c r="P59" i="2"/>
  <c r="R59" i="2"/>
  <c r="P60" i="2"/>
  <c r="R60" i="2"/>
  <c r="K95" i="2" l="1"/>
  <c r="M74" i="2"/>
  <c r="K74" i="2" s="1"/>
  <c r="M68" i="2"/>
  <c r="K68" i="2" s="1"/>
  <c r="M66" i="2"/>
  <c r="K66" i="2" s="1"/>
  <c r="M64" i="2"/>
  <c r="K64" i="2" s="1"/>
  <c r="M75" i="2"/>
  <c r="K75" i="2" s="1"/>
  <c r="M96" i="2"/>
  <c r="K96" i="2" s="1"/>
  <c r="M84" i="2"/>
  <c r="K84" i="2" s="1"/>
  <c r="M82" i="2"/>
  <c r="K82" i="2" s="1"/>
  <c r="M80" i="2"/>
  <c r="K80" i="2" s="1"/>
  <c r="M78" i="2"/>
  <c r="K78" i="2" s="1"/>
  <c r="M72" i="2"/>
  <c r="K72" i="2" s="1"/>
  <c r="M62" i="2"/>
  <c r="K62" i="2" s="1"/>
  <c r="M83" i="2"/>
  <c r="K83" i="2" s="1"/>
  <c r="M81" i="2"/>
  <c r="K81" i="2" s="1"/>
  <c r="M79" i="2"/>
  <c r="K79" i="2" s="1"/>
  <c r="M77" i="2"/>
  <c r="K77" i="2" s="1"/>
  <c r="R43" i="8"/>
  <c r="M43" i="8" s="1"/>
  <c r="K43" i="8" s="1"/>
  <c r="K44" i="8"/>
  <c r="M76" i="2"/>
  <c r="K76" i="2" s="1"/>
  <c r="M60" i="2"/>
  <c r="K60" i="2" s="1"/>
  <c r="M73" i="2"/>
  <c r="K73" i="2" s="1"/>
  <c r="M71" i="2"/>
  <c r="K71" i="2" s="1"/>
  <c r="M67" i="2"/>
  <c r="K67" i="2" s="1"/>
  <c r="M65" i="2"/>
  <c r="K65" i="2" s="1"/>
  <c r="M63" i="2"/>
  <c r="K63" i="2" s="1"/>
  <c r="M61" i="2"/>
  <c r="K61" i="2" s="1"/>
  <c r="M59" i="2"/>
  <c r="K59" i="2" s="1"/>
  <c r="M70" i="2"/>
  <c r="K70" i="2" s="1"/>
  <c r="M69" i="2"/>
  <c r="K69" i="2" s="1"/>
  <c r="P52" i="2" l="1"/>
  <c r="R52" i="2"/>
  <c r="P53" i="2"/>
  <c r="R53" i="2"/>
  <c r="P54" i="2"/>
  <c r="R54" i="2"/>
  <c r="P55" i="2"/>
  <c r="R55" i="2"/>
  <c r="P56" i="2"/>
  <c r="R56" i="2"/>
  <c r="P57" i="2"/>
  <c r="R57" i="2"/>
  <c r="P58" i="2"/>
  <c r="R58" i="2"/>
  <c r="M57" i="2" l="1"/>
  <c r="K57" i="2" s="1"/>
  <c r="M55" i="2"/>
  <c r="K55" i="2" s="1"/>
  <c r="M58" i="2"/>
  <c r="K58" i="2" s="1"/>
  <c r="M56" i="2"/>
  <c r="K56" i="2" s="1"/>
  <c r="M54" i="2"/>
  <c r="K54" i="2" s="1"/>
  <c r="M52" i="2"/>
  <c r="K52" i="2" s="1"/>
  <c r="M53" i="2"/>
  <c r="K53" i="2" s="1"/>
  <c r="R33" i="2"/>
  <c r="U37" i="1"/>
  <c r="H37" i="1" s="1"/>
  <c r="P46" i="2" l="1"/>
  <c r="R46" i="2"/>
  <c r="P37" i="2"/>
  <c r="R37" i="2"/>
  <c r="P35" i="2"/>
  <c r="M46" i="2" l="1"/>
  <c r="K46" i="2" s="1"/>
  <c r="M37" i="2"/>
  <c r="K37" i="2" s="1"/>
  <c r="U36" i="1" l="1"/>
  <c r="H36" i="1" s="1"/>
  <c r="U35" i="1"/>
  <c r="H35" i="1" s="1"/>
  <c r="U32" i="1" l="1"/>
  <c r="H32" i="1" s="1"/>
  <c r="U33" i="1"/>
  <c r="H33" i="1" s="1"/>
  <c r="U34" i="1"/>
  <c r="H34" i="1" s="1"/>
  <c r="U30" i="1" l="1"/>
  <c r="J36" i="8"/>
  <c r="R36" i="8" s="1"/>
  <c r="M36" i="8" s="1"/>
  <c r="H30" i="1" l="1"/>
  <c r="K36" i="8"/>
  <c r="J30" i="8"/>
  <c r="J31" i="8" l="1"/>
  <c r="P42" i="2" l="1"/>
  <c r="R42" i="2"/>
  <c r="M42" i="2" l="1"/>
  <c r="K42" i="2" s="1"/>
  <c r="P50" i="2" l="1"/>
  <c r="R50" i="2"/>
  <c r="P41" i="2"/>
  <c r="R41" i="2"/>
  <c r="R29" i="2"/>
  <c r="M50" i="2" l="1"/>
  <c r="K50" i="2" s="1"/>
  <c r="M41" i="2"/>
  <c r="K41" i="2" s="1"/>
  <c r="R31" i="8" l="1"/>
  <c r="M31" i="8" s="1"/>
  <c r="K31" i="8" s="1"/>
  <c r="J32" i="8"/>
  <c r="J33" i="8"/>
  <c r="R33" i="8" s="1"/>
  <c r="M33" i="8" s="1"/>
  <c r="K33" i="8" s="1"/>
  <c r="J34" i="8"/>
  <c r="R34" i="8" s="1"/>
  <c r="M34" i="8" s="1"/>
  <c r="K34" i="8" s="1"/>
  <c r="J35" i="8"/>
  <c r="R35" i="8" s="1"/>
  <c r="M35" i="8" s="1"/>
  <c r="K35" i="8" s="1"/>
  <c r="J37" i="8"/>
  <c r="R37" i="8" s="1"/>
  <c r="M37" i="8" s="1"/>
  <c r="K37" i="8" s="1"/>
  <c r="J38" i="8"/>
  <c r="R38" i="8" s="1"/>
  <c r="M38" i="8" s="1"/>
  <c r="K38" i="8" s="1"/>
  <c r="J39" i="8"/>
  <c r="R39" i="8" s="1"/>
  <c r="M39" i="8" s="1"/>
  <c r="K39" i="8" s="1"/>
  <c r="J40" i="8"/>
  <c r="R40" i="8" s="1"/>
  <c r="M40" i="8" s="1"/>
  <c r="K40" i="8" s="1"/>
  <c r="J41" i="8"/>
  <c r="R41" i="8" s="1"/>
  <c r="M41" i="8" s="1"/>
  <c r="K41" i="8" s="1"/>
  <c r="J42" i="8"/>
  <c r="R42" i="8" s="1"/>
  <c r="M42" i="8" s="1"/>
  <c r="K42" i="8" s="1"/>
  <c r="R32" i="8" l="1"/>
  <c r="M32" i="8" s="1"/>
  <c r="K32" i="8" s="1"/>
  <c r="R30" i="8"/>
  <c r="M30" i="8" s="1"/>
  <c r="K30" i="8" s="1"/>
  <c r="R35" i="2" l="1"/>
  <c r="P36" i="2"/>
  <c r="R36" i="2"/>
  <c r="P38" i="2"/>
  <c r="R38" i="2"/>
  <c r="P39" i="2"/>
  <c r="R39" i="2"/>
  <c r="P40" i="2"/>
  <c r="R40" i="2"/>
  <c r="P43" i="2"/>
  <c r="R43" i="2"/>
  <c r="P44" i="2"/>
  <c r="R44" i="2"/>
  <c r="P45" i="2"/>
  <c r="R45" i="2"/>
  <c r="P47" i="2"/>
  <c r="R47" i="2"/>
  <c r="P48" i="2"/>
  <c r="R48" i="2"/>
  <c r="P49" i="2"/>
  <c r="R49" i="2"/>
  <c r="P51" i="2"/>
  <c r="R51" i="2"/>
  <c r="U29" i="1"/>
  <c r="M43" i="2" l="1"/>
  <c r="K43" i="2" s="1"/>
  <c r="M38" i="2"/>
  <c r="K38" i="2" s="1"/>
  <c r="M35" i="2"/>
  <c r="M51" i="2"/>
  <c r="K51" i="2" s="1"/>
  <c r="M47" i="2"/>
  <c r="K47" i="2" s="1"/>
  <c r="M36" i="2"/>
  <c r="K36" i="2" s="1"/>
  <c r="M44" i="2"/>
  <c r="K44" i="2" s="1"/>
  <c r="M45" i="2"/>
  <c r="K45" i="2" s="1"/>
  <c r="M49" i="2"/>
  <c r="K49" i="2" s="1"/>
  <c r="M48" i="2"/>
  <c r="K48" i="2" s="1"/>
  <c r="M39" i="2"/>
  <c r="K39" i="2" s="1"/>
  <c r="M40" i="2"/>
  <c r="K40" i="2" s="1"/>
  <c r="C35" i="5"/>
  <c r="K39" i="4"/>
  <c r="H39" i="4" s="1"/>
  <c r="J29" i="8" l="1"/>
  <c r="R29" i="8" l="1"/>
  <c r="R88" i="8" s="1"/>
  <c r="K38" i="4"/>
  <c r="H38" i="4" s="1"/>
  <c r="H61" i="4" s="1"/>
  <c r="C54" i="5"/>
  <c r="C38" i="5" s="1"/>
  <c r="M29" i="8" l="1"/>
  <c r="K29" i="8" s="1"/>
  <c r="D54" i="5"/>
  <c r="X93" i="1"/>
  <c r="W93" i="1"/>
  <c r="J6" i="4" l="1"/>
  <c r="N5" i="3"/>
  <c r="B14" i="5"/>
  <c r="B8" i="5"/>
  <c r="R30" i="2"/>
  <c r="R31" i="2"/>
  <c r="R32" i="2"/>
  <c r="R34" i="2"/>
  <c r="P33" i="2"/>
  <c r="P34" i="2"/>
  <c r="M33" i="2" l="1"/>
  <c r="K33" i="2" s="1"/>
  <c r="M34" i="2"/>
  <c r="K34" i="2" s="1"/>
  <c r="P29" i="2"/>
  <c r="P32" i="2"/>
  <c r="M29" i="2" l="1"/>
  <c r="M32" i="2"/>
  <c r="K32" i="2" l="1"/>
  <c r="K29" i="2"/>
  <c r="P30" i="2"/>
  <c r="M30" i="2" l="1"/>
  <c r="C47" i="5"/>
  <c r="M31" i="2"/>
  <c r="K31" i="2" s="1"/>
  <c r="C46" i="5"/>
  <c r="D46" i="5" s="1"/>
  <c r="G6" i="4"/>
  <c r="G8" i="4"/>
  <c r="G11" i="4"/>
  <c r="G13" i="4"/>
  <c r="C45" i="5"/>
  <c r="D45" i="5"/>
  <c r="A1" i="2"/>
  <c r="D29" i="5"/>
  <c r="C29" i="5"/>
  <c r="K37" i="10"/>
  <c r="G15" i="2"/>
  <c r="M21" i="10"/>
  <c r="C11" i="10"/>
  <c r="C9" i="10"/>
  <c r="C4" i="10"/>
  <c r="A1" i="10"/>
  <c r="I11" i="4"/>
  <c r="I8" i="4"/>
  <c r="M10" i="3"/>
  <c r="M7" i="3"/>
  <c r="D8" i="5"/>
  <c r="C11" i="9"/>
  <c r="C4" i="9"/>
  <c r="A1" i="9"/>
  <c r="C11" i="8"/>
  <c r="C4" i="8"/>
  <c r="A1" i="8"/>
  <c r="C11" i="2"/>
  <c r="C4" i="2"/>
  <c r="C11" i="1"/>
  <c r="C4" i="1"/>
  <c r="A1" i="1"/>
  <c r="M21" i="9"/>
  <c r="G15" i="9"/>
  <c r="C9" i="9"/>
  <c r="B253" i="6"/>
  <c r="B256" i="6" s="1"/>
  <c r="B259" i="6" s="1"/>
  <c r="S23" i="9" s="1"/>
  <c r="B252" i="6"/>
  <c r="N23" i="9" s="1"/>
  <c r="B250" i="6"/>
  <c r="N19" i="9" s="1"/>
  <c r="B249" i="6"/>
  <c r="L24" i="9" s="1"/>
  <c r="L24" i="10"/>
  <c r="B248" i="6"/>
  <c r="K21" i="10" s="1"/>
  <c r="B244" i="6"/>
  <c r="H21" i="10" s="1"/>
  <c r="B243" i="6"/>
  <c r="G21" i="10"/>
  <c r="B242" i="6"/>
  <c r="E21" i="9" s="1"/>
  <c r="B241" i="6"/>
  <c r="E19" i="10" s="1"/>
  <c r="B240" i="6"/>
  <c r="D21" i="10" s="1"/>
  <c r="B239" i="6"/>
  <c r="C21" i="10" s="1"/>
  <c r="B238" i="6"/>
  <c r="C19" i="10" s="1"/>
  <c r="B237" i="6"/>
  <c r="B19" i="10" s="1"/>
  <c r="B236" i="6"/>
  <c r="O16" i="10" s="1"/>
  <c r="B234" i="6"/>
  <c r="C13" i="10" s="1"/>
  <c r="B232" i="6"/>
  <c r="C6" i="10" s="1"/>
  <c r="B231" i="6"/>
  <c r="C3" i="10" s="1"/>
  <c r="M21" i="8"/>
  <c r="G15" i="8"/>
  <c r="C9" i="8"/>
  <c r="B221" i="6"/>
  <c r="B224" i="6" s="1"/>
  <c r="B220" i="6"/>
  <c r="B223" i="6" s="1"/>
  <c r="B218" i="6"/>
  <c r="N19" i="8" s="1"/>
  <c r="B217" i="6"/>
  <c r="L24" i="8" s="1"/>
  <c r="B216" i="6"/>
  <c r="K21" i="8" s="1"/>
  <c r="B212" i="6"/>
  <c r="H21" i="8" s="1"/>
  <c r="B211" i="6"/>
  <c r="G21" i="8" s="1"/>
  <c r="B210" i="6"/>
  <c r="E21" i="8" s="1"/>
  <c r="B209" i="6"/>
  <c r="E19" i="8" s="1"/>
  <c r="B208" i="6"/>
  <c r="D21" i="8" s="1"/>
  <c r="B207" i="6"/>
  <c r="C21" i="8" s="1"/>
  <c r="B206" i="6"/>
  <c r="C19" i="8" s="1"/>
  <c r="B205" i="6"/>
  <c r="B19" i="8"/>
  <c r="B204" i="6"/>
  <c r="O16" i="8" s="1"/>
  <c r="B202" i="6"/>
  <c r="C13" i="8" s="1"/>
  <c r="B200" i="6"/>
  <c r="C6" i="8" s="1"/>
  <c r="B199" i="6"/>
  <c r="C3" i="8" s="1"/>
  <c r="K38" i="9"/>
  <c r="J38" i="9"/>
  <c r="R37" i="9"/>
  <c r="R36" i="9"/>
  <c r="R35" i="9"/>
  <c r="O23" i="8"/>
  <c r="O16" i="9"/>
  <c r="H21" i="9"/>
  <c r="G21" i="9"/>
  <c r="C6" i="9"/>
  <c r="N23" i="10"/>
  <c r="J72" i="4"/>
  <c r="J70" i="4"/>
  <c r="B72" i="4"/>
  <c r="B70" i="4"/>
  <c r="B61" i="4"/>
  <c r="H26" i="4"/>
  <c r="F26" i="4"/>
  <c r="D26" i="4"/>
  <c r="C26" i="4"/>
  <c r="B26" i="4"/>
  <c r="B20" i="4"/>
  <c r="I6" i="4"/>
  <c r="B9" i="4"/>
  <c r="B6" i="4"/>
  <c r="I3" i="4"/>
  <c r="M21" i="2"/>
  <c r="C9" i="2"/>
  <c r="G15" i="1"/>
  <c r="C15" i="5"/>
  <c r="B5" i="5"/>
  <c r="B15" i="5"/>
  <c r="D12" i="7"/>
  <c r="C12" i="7"/>
  <c r="B12" i="7"/>
  <c r="C88" i="6"/>
  <c r="D88" i="6"/>
  <c r="B88" i="6"/>
  <c r="D10" i="5" s="1"/>
  <c r="C11" i="5"/>
  <c r="B11" i="5"/>
  <c r="D5" i="5"/>
  <c r="C5" i="5"/>
  <c r="D2" i="5"/>
  <c r="A15" i="7"/>
  <c r="A13" i="7"/>
  <c r="A11" i="7"/>
  <c r="A9" i="7"/>
  <c r="A7" i="7"/>
  <c r="A5" i="7"/>
  <c r="B40" i="6"/>
  <c r="B43" i="6" s="1"/>
  <c r="B46" i="6" s="1"/>
  <c r="B39" i="6"/>
  <c r="S23" i="1" s="1"/>
  <c r="B37" i="6"/>
  <c r="S19" i="1" s="1"/>
  <c r="B36" i="6"/>
  <c r="R21" i="1" s="1"/>
  <c r="B35" i="6"/>
  <c r="Q21" i="1" s="1"/>
  <c r="B34" i="6"/>
  <c r="P21" i="1" s="1"/>
  <c r="B33" i="6"/>
  <c r="O21" i="1" s="1"/>
  <c r="B32" i="6"/>
  <c r="N21" i="1" s="1"/>
  <c r="B31" i="6"/>
  <c r="M21" i="1" s="1"/>
  <c r="B30" i="6"/>
  <c r="L21" i="1" s="1"/>
  <c r="B29" i="6"/>
  <c r="K21" i="1" s="1"/>
  <c r="B28" i="6"/>
  <c r="J21" i="1" s="1"/>
  <c r="B27" i="6"/>
  <c r="I21" i="1" s="1"/>
  <c r="B26" i="6"/>
  <c r="I19" i="1" s="1"/>
  <c r="B25" i="6"/>
  <c r="H19" i="1" s="1"/>
  <c r="B24" i="6"/>
  <c r="G21" i="1" s="1"/>
  <c r="B23" i="6"/>
  <c r="E21" i="1" s="1"/>
  <c r="B22" i="6"/>
  <c r="E19" i="1" s="1"/>
  <c r="B21" i="6"/>
  <c r="D21" i="1" s="1"/>
  <c r="B20" i="6"/>
  <c r="C21" i="1" s="1"/>
  <c r="B19" i="6"/>
  <c r="C19" i="1" s="1"/>
  <c r="B18" i="6"/>
  <c r="B19" i="1"/>
  <c r="B17" i="6"/>
  <c r="T17" i="1" s="1"/>
  <c r="B15" i="6"/>
  <c r="C13" i="1" s="1"/>
  <c r="B14" i="6"/>
  <c r="C9" i="1" s="1"/>
  <c r="B13" i="6"/>
  <c r="C6" i="1" s="1"/>
  <c r="B12" i="6"/>
  <c r="C3" i="1" s="1"/>
  <c r="T23" i="1"/>
  <c r="B73" i="6"/>
  <c r="B76" i="6" s="1"/>
  <c r="B79" i="6" s="1"/>
  <c r="S23" i="2" s="1"/>
  <c r="B72" i="6"/>
  <c r="N23" i="2" s="1"/>
  <c r="B70" i="6"/>
  <c r="N19" i="2" s="1"/>
  <c r="B69" i="6"/>
  <c r="L24" i="2" s="1"/>
  <c r="B68" i="6"/>
  <c r="K21" i="2" s="1"/>
  <c r="B64" i="6"/>
  <c r="H21" i="2" s="1"/>
  <c r="B63" i="6"/>
  <c r="G21" i="2" s="1"/>
  <c r="B62" i="6"/>
  <c r="E21" i="2" s="1"/>
  <c r="B61" i="6"/>
  <c r="E19" i="2" s="1"/>
  <c r="B60" i="6"/>
  <c r="D21" i="2" s="1"/>
  <c r="B59" i="6"/>
  <c r="C21" i="2" s="1"/>
  <c r="B58" i="6"/>
  <c r="C19" i="2" s="1"/>
  <c r="B57" i="6"/>
  <c r="B19" i="2" s="1"/>
  <c r="B56" i="6"/>
  <c r="O16" i="2" s="1"/>
  <c r="B54" i="6"/>
  <c r="C13" i="2" s="1"/>
  <c r="B52" i="6"/>
  <c r="C6" i="2" s="1"/>
  <c r="B51" i="6"/>
  <c r="C3" i="2" s="1"/>
  <c r="X23" i="1"/>
  <c r="V23" i="1"/>
  <c r="B161" i="6"/>
  <c r="C28" i="3" s="1"/>
  <c r="B171" i="6"/>
  <c r="K77" i="3" s="1"/>
  <c r="B170" i="6"/>
  <c r="K75" i="3"/>
  <c r="B169" i="6"/>
  <c r="B77" i="3" s="1"/>
  <c r="B168" i="6"/>
  <c r="B75" i="3" s="1"/>
  <c r="B167" i="6"/>
  <c r="B63" i="3"/>
  <c r="B166" i="6"/>
  <c r="M28" i="3" s="1"/>
  <c r="B165" i="6"/>
  <c r="J28" i="3" s="1"/>
  <c r="B164" i="6"/>
  <c r="H28" i="3"/>
  <c r="B163" i="6"/>
  <c r="F28" i="3" s="1"/>
  <c r="B162" i="6"/>
  <c r="D28" i="3" s="1"/>
  <c r="B160" i="6"/>
  <c r="B28" i="3" s="1"/>
  <c r="B159" i="6"/>
  <c r="E23" i="3" s="1"/>
  <c r="B158" i="6"/>
  <c r="G19" i="3" s="1"/>
  <c r="B156" i="6"/>
  <c r="K12" i="3" s="1"/>
  <c r="B155" i="6"/>
  <c r="K10" i="3" s="1"/>
  <c r="B154" i="6"/>
  <c r="K7" i="3" s="1"/>
  <c r="B152" i="6"/>
  <c r="K5" i="3" s="1"/>
  <c r="B151" i="6"/>
  <c r="B9" i="3"/>
  <c r="B150" i="6"/>
  <c r="B6" i="3" s="1"/>
  <c r="B149" i="6"/>
  <c r="M2" i="3" s="1"/>
  <c r="Q23" i="2"/>
  <c r="B139" i="6"/>
  <c r="B63" i="5" s="1"/>
  <c r="B138" i="6"/>
  <c r="B62" i="5" s="1"/>
  <c r="B137" i="6"/>
  <c r="B61" i="5" s="1"/>
  <c r="B136" i="6"/>
  <c r="B60" i="5" s="1"/>
  <c r="B135" i="6"/>
  <c r="B59" i="5" s="1"/>
  <c r="B134" i="6"/>
  <c r="B58" i="5" s="1"/>
  <c r="B133" i="6"/>
  <c r="B57" i="5" s="1"/>
  <c r="B132" i="6"/>
  <c r="B56" i="5" s="1"/>
  <c r="B131" i="6"/>
  <c r="B55" i="5" s="1"/>
  <c r="B130" i="6"/>
  <c r="B54" i="5" s="1"/>
  <c r="B129" i="6"/>
  <c r="B53" i="5" s="1"/>
  <c r="B128" i="6"/>
  <c r="B52" i="5" s="1"/>
  <c r="B127" i="6"/>
  <c r="B51" i="5" s="1"/>
  <c r="B126" i="6"/>
  <c r="B50" i="5" s="1"/>
  <c r="B125" i="6"/>
  <c r="B49" i="5" s="1"/>
  <c r="B124" i="6"/>
  <c r="B48" i="5" s="1"/>
  <c r="B123" i="6"/>
  <c r="B47" i="5"/>
  <c r="B122" i="6"/>
  <c r="B46" i="5" s="1"/>
  <c r="B121" i="6"/>
  <c r="B45" i="5"/>
  <c r="B120" i="6"/>
  <c r="B44" i="5" s="1"/>
  <c r="B119" i="6"/>
  <c r="B43" i="5"/>
  <c r="B118" i="6"/>
  <c r="B42" i="5" s="1"/>
  <c r="B117" i="6"/>
  <c r="B41" i="5" s="1"/>
  <c r="B116" i="6"/>
  <c r="B40" i="5" s="1"/>
  <c r="B115" i="6"/>
  <c r="B39" i="5" s="1"/>
  <c r="B114" i="6"/>
  <c r="B38" i="5" s="1"/>
  <c r="B113" i="6"/>
  <c r="B37" i="5" s="1"/>
  <c r="B112" i="6"/>
  <c r="B36" i="5"/>
  <c r="B111" i="6"/>
  <c r="B35" i="5" s="1"/>
  <c r="B110" i="6"/>
  <c r="B34" i="5" s="1"/>
  <c r="B109" i="6"/>
  <c r="B33" i="5"/>
  <c r="B108" i="6"/>
  <c r="B32" i="5"/>
  <c r="B107" i="6"/>
  <c r="B31" i="5" s="1"/>
  <c r="B106" i="6"/>
  <c r="B30" i="5" s="1"/>
  <c r="B105" i="6"/>
  <c r="B29" i="5"/>
  <c r="B104" i="6"/>
  <c r="B28" i="5" s="1"/>
  <c r="B103" i="6"/>
  <c r="B27" i="5" s="1"/>
  <c r="B102" i="6"/>
  <c r="B26" i="5" s="1"/>
  <c r="B101" i="6"/>
  <c r="B25" i="5" s="1"/>
  <c r="B100" i="6"/>
  <c r="B24" i="5" s="1"/>
  <c r="B99" i="6"/>
  <c r="B23" i="5" s="1"/>
  <c r="B98" i="6"/>
  <c r="B22" i="5" s="1"/>
  <c r="B97" i="6"/>
  <c r="B21" i="5" s="1"/>
  <c r="B96" i="6"/>
  <c r="B20" i="5" s="1"/>
  <c r="B95" i="6"/>
  <c r="B19" i="5"/>
  <c r="B94" i="6"/>
  <c r="B18" i="5" s="1"/>
  <c r="B93" i="6"/>
  <c r="B17" i="5" s="1"/>
  <c r="B92" i="6"/>
  <c r="B16" i="5"/>
  <c r="B91" i="6"/>
  <c r="D15" i="5" s="1"/>
  <c r="C17" i="5"/>
  <c r="L230" i="2" l="1"/>
  <c r="K30" i="2"/>
  <c r="C44" i="5"/>
  <c r="B255" i="6"/>
  <c r="B258" i="6" s="1"/>
  <c r="D47" i="5"/>
  <c r="F61" i="4"/>
  <c r="R23" i="9"/>
  <c r="R23" i="10"/>
  <c r="P23" i="9"/>
  <c r="P23" i="10"/>
  <c r="D21" i="9"/>
  <c r="E21" i="10"/>
  <c r="N19" i="10"/>
  <c r="C13" i="9"/>
  <c r="C21" i="9"/>
  <c r="B75" i="6"/>
  <c r="B42" i="6"/>
  <c r="B45" i="6" s="1"/>
  <c r="W23" i="1" s="1"/>
  <c r="R38" i="9"/>
  <c r="C19" i="9"/>
  <c r="B226" i="6"/>
  <c r="R23" i="8" s="1"/>
  <c r="P23" i="8"/>
  <c r="B227" i="6"/>
  <c r="S23" i="8" s="1"/>
  <c r="Q23" i="8"/>
  <c r="O23" i="2"/>
  <c r="S23" i="10"/>
  <c r="Q23" i="9"/>
  <c r="K21" i="9"/>
  <c r="Q23" i="10"/>
  <c r="C3" i="9"/>
  <c r="B19" i="9"/>
  <c r="U23" i="1"/>
  <c r="E19" i="9"/>
  <c r="N23" i="8"/>
  <c r="O23" i="10"/>
  <c r="O23" i="9"/>
  <c r="D44" i="5" l="1"/>
  <c r="D38" i="5"/>
  <c r="B78" i="6"/>
  <c r="R23" i="2" s="1"/>
  <c r="P23" i="2"/>
  <c r="V43" i="1" l="1"/>
  <c r="H43" i="1" l="1"/>
  <c r="V47" i="1"/>
  <c r="H47" i="1" s="1"/>
  <c r="V46" i="1"/>
  <c r="H46" i="1" s="1"/>
  <c r="V45" i="1"/>
  <c r="H45" i="1" s="1"/>
  <c r="V52" i="1"/>
  <c r="H52" i="1" s="1"/>
  <c r="V56" i="1"/>
  <c r="H56" i="1" s="1"/>
  <c r="V50" i="1"/>
  <c r="H50" i="1" s="1"/>
  <c r="V53" i="1"/>
  <c r="H53" i="1" s="1"/>
  <c r="V55" i="1"/>
  <c r="H55" i="1" s="1"/>
  <c r="V49" i="1"/>
  <c r="H49" i="1" s="1"/>
  <c r="V48" i="1"/>
  <c r="H48" i="1" s="1"/>
  <c r="U93" i="1"/>
  <c r="C30" i="5" s="1"/>
  <c r="C28" i="5" s="1"/>
  <c r="C16" i="5" s="1"/>
  <c r="V54" i="1"/>
  <c r="H54" i="1" s="1"/>
  <c r="V51" i="1"/>
  <c r="V91" i="1"/>
  <c r="H91" i="1" s="1"/>
  <c r="V93" i="1" l="1"/>
  <c r="D30" i="5" s="1"/>
  <c r="H45" i="5" s="1"/>
  <c r="H51" i="1"/>
  <c r="D28" i="5" l="1"/>
  <c r="D60" i="5" s="1"/>
  <c r="D62" i="5" s="1"/>
</calcChain>
</file>

<file path=xl/sharedStrings.xml><?xml version="1.0" encoding="utf-8"?>
<sst xmlns="http://schemas.openxmlformats.org/spreadsheetml/2006/main" count="1602" uniqueCount="893">
  <si>
    <t>10 (11+12+13+14+15+16)</t>
  </si>
  <si>
    <t>HR</t>
  </si>
  <si>
    <t>"(15)</t>
  </si>
  <si>
    <t>"(16)</t>
  </si>
  <si>
    <t>"(17)</t>
  </si>
  <si>
    <t>"(18)</t>
  </si>
  <si>
    <t>XX XXX</t>
  </si>
  <si>
    <t>TITLE / NAME AND SURNAME</t>
  </si>
  <si>
    <t>NUMERAL CLASSIFICATION BY NATIONAL</t>
  </si>
  <si>
    <t>LEDGER OF OUTGOING INVOICES</t>
  </si>
  <si>
    <t>ORDINAL NUMBER</t>
  </si>
  <si>
    <t>NUMBER</t>
  </si>
  <si>
    <t>DATE</t>
  </si>
  <si>
    <t>INVOICE</t>
  </si>
  <si>
    <t>CUSTOMER (RECIPIENT OF GOODS OR SERVICES)</t>
  </si>
  <si>
    <t>TITLE / NAME AND SURNAME, HEADQUARTERS / PLACE OF RESIDENCE</t>
  </si>
  <si>
    <t>AMOUNT (including VAT)</t>
  </si>
  <si>
    <t>INLAND TRANSMISSION OF TAX LIABILITY</t>
  </si>
  <si>
    <t>NOT SUBJECT TO TAXATION AND VAT FREE</t>
  </si>
  <si>
    <t>SERVICES RENDERED WITHIN EU</t>
  </si>
  <si>
    <t>SHIPMENT OF GOODS WITHIN EU</t>
  </si>
  <si>
    <t>INLAND</t>
  </si>
  <si>
    <t>EXPORT SHIPMENT</t>
  </si>
  <si>
    <t>OTHER TAX EXEMPTIONS</t>
  </si>
  <si>
    <t>TAXABLE</t>
  </si>
  <si>
    <t>TAX BASIS</t>
  </si>
  <si>
    <t>TAX</t>
  </si>
  <si>
    <t xml:space="preserve">ADDRESS: TOWN, STREET AND NUMBER </t>
  </si>
  <si>
    <t>LEDGER OF INCOMING INVOICES</t>
  </si>
  <si>
    <t>AMOUNT IN KUNA AND LIPA</t>
  </si>
  <si>
    <t>SUPPLIER (DISTRIBUTOR OF GOODS OR SERVICES)</t>
  </si>
  <si>
    <t>TOTAL AMOUNT OF INVOICE INCLUDING VAT</t>
  </si>
  <si>
    <t>CAN BE DEDUCTED</t>
  </si>
  <si>
    <t>CAN NOT BE DEDUCTED</t>
  </si>
  <si>
    <t>TAX ADMINISTRATION  (1)</t>
  </si>
  <si>
    <t>REGIONAL OFFICE (2)</t>
  </si>
  <si>
    <t>VAT ID NUMBER (3)</t>
  </si>
  <si>
    <t>Address (town, street and number) (5)</t>
  </si>
  <si>
    <t>VAT ID NUMBER of tax representative (6)</t>
  </si>
  <si>
    <t xml:space="preserve">Ordinal number               (8)               </t>
  </si>
  <si>
    <t>VAT ID NUMBER of recipient (without country code)           (10)</t>
  </si>
  <si>
    <t>Value of goods delivered (in kuna and lipa)             (11)</t>
  </si>
  <si>
    <t>Value of services rendered (provided) (in kuna and lipa)                (14)</t>
  </si>
  <si>
    <t>Total value</t>
  </si>
  <si>
    <t>I hereby confirm the authenticity of these data.</t>
  </si>
  <si>
    <t>Calculation drafted by                   (name and surname)                  (19)</t>
  </si>
  <si>
    <t>Signature (20)</t>
  </si>
  <si>
    <t>Telephone number / fax / e-mail              (21)</t>
  </si>
  <si>
    <t>Tax payer (title / name and surname) (4)</t>
  </si>
  <si>
    <t>Supplier's country code   (9)</t>
  </si>
  <si>
    <t>Supplier's VAT ID NUMBER (without country code)           (10)</t>
  </si>
  <si>
    <t>Value of goods acquired (in kuna and lipa)             (11)</t>
  </si>
  <si>
    <t>Value of services received (in kuna and lipa)                  (12)</t>
  </si>
  <si>
    <t>Calculation drafted by                   (name and surname)                          (15)</t>
  </si>
  <si>
    <t>Signature (16)</t>
  </si>
  <si>
    <t>VAT form</t>
  </si>
  <si>
    <t>TAX PAYER (title / name and surname, address: town, street and number)</t>
  </si>
  <si>
    <t>TAX REPRESENTATIVE (title / name and surname, address: town, street and number)</t>
  </si>
  <si>
    <t>DESCRIPTION</t>
  </si>
  <si>
    <t>TAX BASIS (in kuna and lipa)</t>
  </si>
  <si>
    <t>I. TRANSACTIONS WHICH ARE NOT SUBJECT TO TAXATION AND VAT FREE -TOTAL (1.+2.+3.+4.+5.+6.+7.+8.+9.+10.)</t>
  </si>
  <si>
    <t xml:space="preserve">  2. DELIVERIES OF GOODS AND SERVICES MADE IN OTHER COUNTRIES MEMBERS OF EU</t>
  </si>
  <si>
    <t xml:space="preserve">  6. ASSEMBLY AND INSTALLATION OF GOODS IN OTHER COUNTRIES MEMBERS OF EU</t>
  </si>
  <si>
    <t>VAT CALCULATION IN PROVIDED TRANSACTIONS OF GOODS AND SERVICES - TOTAL (I.+II.)</t>
  </si>
  <si>
    <t xml:space="preserve">  8. INLAND DELIVERIES</t>
  </si>
  <si>
    <t>II. TAXABLE TRANSACTIONS - TOTAL            (1.+2.+3.+4.+5.+6.+7.+8.+9.+10.+11.+12.+13.+14.)</t>
  </si>
  <si>
    <t xml:space="preserve">  7. ACQUISITION OF GOODS WITHIN EU TAXABLE BY RATE OF 25%</t>
  </si>
  <si>
    <t xml:space="preserve"> 10. OTHER TAX EXEMPTIONS</t>
  </si>
  <si>
    <t>IV. VAT LIABILITY FOR THE PERIOD: TO BE PAID (II.-III.) OR TO BE REFUNDED (III.-II.)</t>
  </si>
  <si>
    <t>VAT RETURN</t>
  </si>
  <si>
    <t>ADVANCE</t>
  </si>
  <si>
    <t>CESSION</t>
  </si>
  <si>
    <t>SHIPMENT OF GOODS IN OTHER EU MEMBERS STATES</t>
  </si>
  <si>
    <t>SERVICES RENDERED TO PERSONS WITHOUT HEADQUARTERS IN CROATIA</t>
  </si>
  <si>
    <t>ASSEMBLY AND INSTALLATION OF GOODS IN OTHER EU MEMBER STATES</t>
  </si>
  <si>
    <t>SHIPMENT OF NMT WITHIN EU</t>
  </si>
  <si>
    <t>VAT ID NUMBER / PIN (OIB)</t>
  </si>
  <si>
    <t>RECAPITULATIVE STATEMENT</t>
  </si>
  <si>
    <t>Country code     (9)</t>
  </si>
  <si>
    <t xml:space="preserve"> Value of goods delivered under procedure 42 and 63 (in kuna and lipa)              (12)</t>
  </si>
  <si>
    <t>Value of goods delivered within trilateral transactions (in kuna and lipa)                                  (13)</t>
  </si>
  <si>
    <t>VAT-S FORM</t>
  </si>
  <si>
    <t>Registration for the acquisition of goods and services from other EU member states             Month________________ Year__________</t>
  </si>
  <si>
    <t>Telephone number / fax /  e-mail       (17)</t>
  </si>
  <si>
    <t xml:space="preserve">VAT ID NUMBER / PIN (OIB) </t>
  </si>
  <si>
    <t xml:space="preserve">  3. DELIVERIES OF GOODS WITHIN THE EU</t>
  </si>
  <si>
    <t xml:space="preserve">  4. SERVICES PROVIDED WITHIN THE EU</t>
  </si>
  <si>
    <t xml:space="preserve">  5. SERVICES PROVIDED TO PERSONS WITHOUT HEADQUARTERS IN CROATIA</t>
  </si>
  <si>
    <t xml:space="preserve">  7. MEANS OF TRANSPORTATION DELIVERED WITHIN THE EU</t>
  </si>
  <si>
    <t xml:space="preserve">  1. DELIVERIES OF GOODS AND SERVICES IN CROATIA TAXABLE BY A RATE OF 5%</t>
  </si>
  <si>
    <t xml:space="preserve">  5. ACQUISITION OF GOODS WITHIN THE EU TAXABLE BY A RATE OF 5%</t>
  </si>
  <si>
    <t xml:space="preserve">  8. SERVICES RECEIVED FROM THE EU TAXABLE BY A RATE OF 5%</t>
  </si>
  <si>
    <t xml:space="preserve"> 10. SERVICES RECEIVED FROM THE EU TAXABLE BY A RATE OF 25%</t>
  </si>
  <si>
    <t>III. CALCULATED INPUT TAX - TOTAL (1.+2.+3.+4.+5.+6.+7.)</t>
  </si>
  <si>
    <t>VI. TOTAL DIFFERENCE: TO BE PAID / TO BE REFUNDED</t>
  </si>
  <si>
    <t>VII. PROPORTIONAL AMOUNT OF ANNUAL INPUT TAX DEDUCTION (%)</t>
  </si>
  <si>
    <t>________________ HRK</t>
  </si>
  <si>
    <t xml:space="preserve">________________HRK </t>
  </si>
  <si>
    <t xml:space="preserve">VAT 5%, 10% and 25% (in kuna and lipa) </t>
  </si>
  <si>
    <t>VAT ID NUMBER OF TAX REPRESENTATIVE / PIN (OIB)</t>
  </si>
  <si>
    <t>RS FORM</t>
  </si>
  <si>
    <t xml:space="preserve">  9. SERVICES RECEIVED FROM THE EU TAXABLE BY A RATE OF 13%</t>
  </si>
  <si>
    <t xml:space="preserve">  9. EXPORT DELIVERIES</t>
  </si>
  <si>
    <t xml:space="preserve">  1. INLAND DELIVERIES (DELIVERIES IN CROATIA) FOR WHICH VAT IS CALCULATED BY THE BENEFICIARY (THE RECIPIENT) (INLAND TRANSMISSION OF TAX LIABILITY)</t>
  </si>
  <si>
    <t>________________HRK</t>
  </si>
  <si>
    <t xml:space="preserve">  2. DELIVERIES OF GOODS AND SERVICES IN RH TAXABLE BY RATE OF 13%</t>
  </si>
  <si>
    <t xml:space="preserve">  6. ACQUISITION OF GOODS WITHIN THE EU TAXABLE BY A RATE OF 13%</t>
  </si>
  <si>
    <t xml:space="preserve"> 12. DELIVERIES OF GOODS AND SERVICES RECEIVED FROM TAX PAYERS WITHOUT HEADQUARTERS IN CROATIA TAXABLE BY A RATE OF 13%</t>
  </si>
  <si>
    <t xml:space="preserve"> 13. DELIVERIES OF GOODS AND SERVICES RECEIVED FROM TAX PAYERS WITHOUT HEADQUARTERS IN RH TAXABLE BY RATE OF 25%</t>
  </si>
  <si>
    <t xml:space="preserve"> 14. SUBSEQUENT EXEMPTION OF EXPORT TAXATION IN PASSENGER TRAFFIC</t>
  </si>
  <si>
    <t xml:space="preserve">  15. CALCULATED IMPORT VAT</t>
  </si>
  <si>
    <t xml:space="preserve">  1. INPUT TAX FROM INLAND DELIVERIES RECEIVED 5%</t>
  </si>
  <si>
    <t xml:space="preserve">  2. INPUT TAX FROM INLAND DELIVERIES RECEIVED 13%</t>
  </si>
  <si>
    <t xml:space="preserve">  3. INPUT TAX FROM INLAND DELIVERIES RECEIVED 25%</t>
  </si>
  <si>
    <t xml:space="preserve">  5. INPUT TAX FROM ACQUISITION OF GOODS WITHIN THE EU 5%</t>
  </si>
  <si>
    <t xml:space="preserve">  6. INPUT TAX FROM ACQUISITION OF GOODS WITHIN THE EU 13%</t>
  </si>
  <si>
    <t xml:space="preserve">  7. INPUT TAX FROM ACQUISITION OF GOODS WITHIN THE EU 25%</t>
  </si>
  <si>
    <t xml:space="preserve">  8. INPUT TAX FROM SERVICES RECEIVED FROM EU 5%</t>
  </si>
  <si>
    <t xml:space="preserve">  9. INPUT TAX FROM SERVICES RECEIVED FROM EU 13%</t>
  </si>
  <si>
    <t xml:space="preserve">  10. INPUT TAX FROM SERVICES RECEIVED FROM EU 25%</t>
  </si>
  <si>
    <t xml:space="preserve">  11. INPUT TAX FROM DELIVERIES OF GOODS AND SERVICES RECEIVED FROM TAX PAYERS WITHOUT HEADQUARTERS IN CROATIA 5%</t>
  </si>
  <si>
    <t xml:space="preserve">  12. INPUT TAX FROM DELIVERIES OF GOODS AND SERVICES RECEIVED FROM TAX PAYERS WITHOUT HEADQUARTERS IN CROATIA 13%</t>
  </si>
  <si>
    <t xml:space="preserve">  13. INPUT TAX FROM DELIVERIES OF GOODS AND SERVICES RECEIVED FROM TAX PAYERS WITHOUT HEADQUARTERS IN CROATIA 25%</t>
  </si>
  <si>
    <t xml:space="preserve">  14. IMPORT VAT</t>
  </si>
  <si>
    <t xml:space="preserve">  15. INPUT TAX ADJUSTMENTS</t>
  </si>
  <si>
    <t xml:space="preserve"> 11. DELIVERIES OF GOODS AND SERVICES RECEIVED FROM TAX PAYERS WITHOUT HEADQUARTERS IN CROATIA TAXABLE BY A RATE OF 5%</t>
  </si>
  <si>
    <t>Recapitulative statement for the shipment of goods and services to other EU member states                           Month ____01________  Year___2016____________</t>
  </si>
  <si>
    <t>DE</t>
  </si>
  <si>
    <t>HRV</t>
  </si>
  <si>
    <t>ENG</t>
  </si>
  <si>
    <t>INDEKS</t>
  </si>
  <si>
    <t>IRA-001</t>
  </si>
  <si>
    <t>URA-001</t>
  </si>
  <si>
    <t>IRA-002</t>
  </si>
  <si>
    <t>OIB:</t>
  </si>
  <si>
    <t>NKD:</t>
  </si>
  <si>
    <t>Razdoblje:</t>
  </si>
  <si>
    <t>Nadležna PU:</t>
  </si>
  <si>
    <t>JEZIK:</t>
  </si>
  <si>
    <t>NAS-001</t>
  </si>
  <si>
    <t>Adresa:</t>
  </si>
  <si>
    <t>ZUSTÄNDIGES FINANZAMT</t>
  </si>
  <si>
    <t>KLASSIFIKATION GEMÄSS NOMENKLATUR
(TÄTIGKEITS-KENNZIFFER)</t>
  </si>
  <si>
    <t>STEUERNUMMER</t>
  </si>
  <si>
    <t>BESCHREIBUNG</t>
  </si>
  <si>
    <t>Lieferwert
(Betrag in Kuna und Lipa)</t>
  </si>
  <si>
    <t>Steuersatz von 5%,13%, 25% 
(Betrag in Kuna und Lipa)</t>
  </si>
  <si>
    <t>PDV-001</t>
  </si>
  <si>
    <t>NAS-002</t>
  </si>
  <si>
    <t>IRA-003</t>
  </si>
  <si>
    <t>IRA-004</t>
  </si>
  <si>
    <t>IRA-005</t>
  </si>
  <si>
    <t>IRA-006</t>
  </si>
  <si>
    <t>IRA-007</t>
  </si>
  <si>
    <t>IRA-008</t>
  </si>
  <si>
    <t>IRA-009</t>
  </si>
  <si>
    <t>IRA-010</t>
  </si>
  <si>
    <t>IRA-011</t>
  </si>
  <si>
    <t>IRA-012</t>
  </si>
  <si>
    <t>IRA-013</t>
  </si>
  <si>
    <t>IRA-014</t>
  </si>
  <si>
    <t>IRA-015</t>
  </si>
  <si>
    <t>IRA-016</t>
  </si>
  <si>
    <t>IRA-017</t>
  </si>
  <si>
    <t>IRA-018</t>
  </si>
  <si>
    <t>IRA-019</t>
  </si>
  <si>
    <t>IRA-020</t>
  </si>
  <si>
    <t>IRA-021</t>
  </si>
  <si>
    <t>IRA-022</t>
  </si>
  <si>
    <t>IRA-023</t>
  </si>
  <si>
    <t>IRA-024</t>
  </si>
  <si>
    <t>IRA-025</t>
  </si>
  <si>
    <t>IRA-026</t>
  </si>
  <si>
    <t>IRA-027</t>
  </si>
  <si>
    <t>IRA-028</t>
  </si>
  <si>
    <t>IRA-029</t>
  </si>
  <si>
    <t>IRA-030</t>
  </si>
  <si>
    <t>IRA-031</t>
  </si>
  <si>
    <t>IRA-032</t>
  </si>
  <si>
    <t>IRA-033</t>
  </si>
  <si>
    <t>IRA-034</t>
  </si>
  <si>
    <t>IRA-035</t>
  </si>
  <si>
    <t>URA-002</t>
  </si>
  <si>
    <t>URA-003</t>
  </si>
  <si>
    <t>URA-004</t>
  </si>
  <si>
    <t>URA-005</t>
  </si>
  <si>
    <t>URA-006</t>
  </si>
  <si>
    <t>URA-007</t>
  </si>
  <si>
    <t>URA-008</t>
  </si>
  <si>
    <t>URA-009</t>
  </si>
  <si>
    <t>URA-010</t>
  </si>
  <si>
    <t>URA-011</t>
  </si>
  <si>
    <t>URA-012</t>
  </si>
  <si>
    <t>URA-013</t>
  </si>
  <si>
    <t>URA-014</t>
  </si>
  <si>
    <t>URA-015</t>
  </si>
  <si>
    <t>URA-016</t>
  </si>
  <si>
    <t>URA-017</t>
  </si>
  <si>
    <t>URA-018</t>
  </si>
  <si>
    <t>URA-019</t>
  </si>
  <si>
    <t>URA-020</t>
  </si>
  <si>
    <t>URA-021</t>
  </si>
  <si>
    <t>URA-022</t>
  </si>
  <si>
    <t>URA-023</t>
  </si>
  <si>
    <t>URA-024</t>
  </si>
  <si>
    <t>URA-025</t>
  </si>
  <si>
    <t>URA-026</t>
  </si>
  <si>
    <t>URA-027</t>
  </si>
  <si>
    <t>URA-028</t>
  </si>
  <si>
    <t>URA-029</t>
  </si>
  <si>
    <t xml:space="preserve">  3. DELIVERIES OF GOODS AND SERVICES IN CROATIA TAXABLE BY A RATE OF 25%</t>
  </si>
  <si>
    <t xml:space="preserve">  4. DELIVERIES RECEIVED IN RH FOR WHICH VAT IS CALCULATED BY BENEFICIARY (THE RECIPIENT) (INLAND TRANSMISSION OF TAX LIABILITY)</t>
  </si>
  <si>
    <t xml:space="preserve">  4. INPUT TAX FROM RECEIVED DELIVERIES IN CROATIA FOR WHICH VAT IS CALCULATED BY THE BENEFICIARY (THE RECIPIENT) (INLAND TRANSMISSION OF TAX LIABILITY)</t>
  </si>
  <si>
    <t>V. BY PREVIOUS CALCULATION: VAT UNPAID UNTIL SUBMISSION OF THIS CALCULATION - PREPAYMENT - TAX CREDIT</t>
  </si>
  <si>
    <t>PDV-002</t>
  </si>
  <si>
    <t>PDV-003</t>
  </si>
  <si>
    <t>PDV-004</t>
  </si>
  <si>
    <t>PDV-005</t>
  </si>
  <si>
    <t>PDV-006</t>
  </si>
  <si>
    <t>PDV-007</t>
  </si>
  <si>
    <t>PDV-008</t>
  </si>
  <si>
    <t>PDV-009</t>
  </si>
  <si>
    <t>PDV-010</t>
  </si>
  <si>
    <t>PDV-011</t>
  </si>
  <si>
    <t>PDV-012</t>
  </si>
  <si>
    <t>PDV-013</t>
  </si>
  <si>
    <t>PDV-014</t>
  </si>
  <si>
    <t>PDV-015</t>
  </si>
  <si>
    <t>PDV-016</t>
  </si>
  <si>
    <t>PDV-017</t>
  </si>
  <si>
    <t>PDV-018</t>
  </si>
  <si>
    <t>PDV-019</t>
  </si>
  <si>
    <t>PDV-020</t>
  </si>
  <si>
    <t>PDV-021</t>
  </si>
  <si>
    <t>PDV-022</t>
  </si>
  <si>
    <t>PDV-023</t>
  </si>
  <si>
    <t>PDV-024</t>
  </si>
  <si>
    <t>PDV-025</t>
  </si>
  <si>
    <t>PDV-026</t>
  </si>
  <si>
    <t>PDV-027</t>
  </si>
  <si>
    <t>PDV-028</t>
  </si>
  <si>
    <t>PDV-029</t>
  </si>
  <si>
    <t>PDV-030</t>
  </si>
  <si>
    <t>PDV-031</t>
  </si>
  <si>
    <t>PDV-032</t>
  </si>
  <si>
    <t>PDV-033</t>
  </si>
  <si>
    <t>PDV-034</t>
  </si>
  <si>
    <t>PDV-035</t>
  </si>
  <si>
    <t>PDV-036</t>
  </si>
  <si>
    <t>PDV-037</t>
  </si>
  <si>
    <t>PDV-038</t>
  </si>
  <si>
    <t>PDV-039</t>
  </si>
  <si>
    <t>PDV-040</t>
  </si>
  <si>
    <t>PDV-041</t>
  </si>
  <si>
    <t>PDV-042</t>
  </si>
  <si>
    <t>PDV-043</t>
  </si>
  <si>
    <t>PDV-044</t>
  </si>
  <si>
    <t>PDV-045</t>
  </si>
  <si>
    <t>PDV-046</t>
  </si>
  <si>
    <t>PDV-047</t>
  </si>
  <si>
    <t>PDV-048</t>
  </si>
  <si>
    <t>PDV-049</t>
  </si>
  <si>
    <t>PDV-050</t>
  </si>
  <si>
    <t>PDV-051</t>
  </si>
  <si>
    <t>PDV-052</t>
  </si>
  <si>
    <t>PDV-053</t>
  </si>
  <si>
    <t>PDV-054</t>
  </si>
  <si>
    <t>PDV-055</t>
  </si>
  <si>
    <t>PDV-056</t>
  </si>
  <si>
    <t>PDV-057</t>
  </si>
  <si>
    <t>PDV-058</t>
  </si>
  <si>
    <t>PDV-059</t>
  </si>
  <si>
    <t>PDV-060</t>
  </si>
  <si>
    <t>PDV-061</t>
  </si>
  <si>
    <t>PDV-062</t>
  </si>
  <si>
    <t>PDV-063</t>
  </si>
  <si>
    <t>PDV-064</t>
  </si>
  <si>
    <t>ZP-001</t>
  </si>
  <si>
    <t>PDV-S-001</t>
  </si>
  <si>
    <t>ZP-002</t>
  </si>
  <si>
    <t>ZP-003</t>
  </si>
  <si>
    <t>ZP-004</t>
  </si>
  <si>
    <t>ZP-005</t>
  </si>
  <si>
    <t>ZP-006</t>
  </si>
  <si>
    <t>ZP-007</t>
  </si>
  <si>
    <t>ZP-008</t>
  </si>
  <si>
    <t>ZP-009</t>
  </si>
  <si>
    <t>ZP-010</t>
  </si>
  <si>
    <t>ZP-011</t>
  </si>
  <si>
    <t>ZP-012</t>
  </si>
  <si>
    <t>ZP-013</t>
  </si>
  <si>
    <t>ZP-014</t>
  </si>
  <si>
    <t>ZP-015</t>
  </si>
  <si>
    <t>ZP-016</t>
  </si>
  <si>
    <t>ZP-017</t>
  </si>
  <si>
    <t>ZP-018</t>
  </si>
  <si>
    <t>ZP-019</t>
  </si>
  <si>
    <t>ZP-020</t>
  </si>
  <si>
    <t>ZP-021</t>
  </si>
  <si>
    <t>ZP-022</t>
  </si>
  <si>
    <t>ZP-023</t>
  </si>
  <si>
    <t>PDV-S-002</t>
  </si>
  <si>
    <t>PDV-S-003</t>
  </si>
  <si>
    <t>PDV-S-004</t>
  </si>
  <si>
    <t>PDV-S-005</t>
  </si>
  <si>
    <t>PDV-S-006</t>
  </si>
  <si>
    <t>PDV-S-007</t>
  </si>
  <si>
    <t>PDV-S-008</t>
  </si>
  <si>
    <t>PDV-S-009</t>
  </si>
  <si>
    <t>PDV-S-010</t>
  </si>
  <si>
    <t>PDV-S-011</t>
  </si>
  <si>
    <t>PDV-S-012</t>
  </si>
  <si>
    <t>PDV-S-013</t>
  </si>
  <si>
    <t>PDV-S-014</t>
  </si>
  <si>
    <t>PDV-S-015</t>
  </si>
  <si>
    <t>PDV-S-016</t>
  </si>
  <si>
    <t>PDV-S-017</t>
  </si>
  <si>
    <t>PDV-S-018</t>
  </si>
  <si>
    <t>PDV-S-019</t>
  </si>
  <si>
    <t>Obrazac PDV</t>
  </si>
  <si>
    <t>POREZNI OBVEZNIK
(naziv/ime i prezime i adresa: mjesto, ulica i broj)</t>
  </si>
  <si>
    <t>POREZNI ZASTUPNIK
(naziv/ime i prezime i adresa: mjesto, ulica i broj)</t>
  </si>
  <si>
    <t>NADLEŽNA ISPOSTVA POREZNE UPRAVE</t>
  </si>
  <si>
    <t>PDV IDENTIFIKACIJSKI BROJ / OIB</t>
  </si>
  <si>
    <t>PDV IDENTIFIKACIJSKI BROJ POREZNOG ZASTUPNIKA / OIB</t>
  </si>
  <si>
    <t>OPIS</t>
  </si>
  <si>
    <t>POREZNA OSNOVICA (iznos u kunama i lipama)</t>
  </si>
  <si>
    <t>OBRAZAC PDV-S</t>
  </si>
  <si>
    <t>POREZNA UPRAVA PODRUČNI URED</t>
  </si>
  <si>
    <t>ISPOSTAVA</t>
  </si>
  <si>
    <t>PDV IDENTIFIKACIJSKI BROJ</t>
  </si>
  <si>
    <t>Porezni obveznik (Naziv/Ime i prezime)</t>
  </si>
  <si>
    <t>Adresa (mjesto, ulica i broj)</t>
  </si>
  <si>
    <t>PDV identifikacijski broj poreznog zastupnika</t>
  </si>
  <si>
    <t>Red. Br.</t>
  </si>
  <si>
    <t xml:space="preserve">Kȏd države isporučitelja </t>
  </si>
  <si>
    <t>PDV identifikacijski broj isporučitelja (bez kȏda države)</t>
  </si>
  <si>
    <t>Vrijednost stečenih dobara (u kunama i lipama)</t>
  </si>
  <si>
    <t>Vrijednost primljenih usluga (u kunama i lipama)</t>
  </si>
  <si>
    <t>Ukupna vrijednost</t>
  </si>
  <si>
    <t>Potvrđujem istinitost navedenih podataka.</t>
  </si>
  <si>
    <t>Obračun sastavio (ime i prezime)</t>
  </si>
  <si>
    <t>Potpis</t>
  </si>
  <si>
    <t>Broj telefona/fax/e-mail</t>
  </si>
  <si>
    <t>BROJČANA OZNAKA (ŠIFRA) DJELATNOSTI PREMA NACIONALNOJ KLASIFIKACIJI</t>
  </si>
  <si>
    <t>KNJIGA PRIMLJENIH ULAZNIH RAČUNA</t>
  </si>
  <si>
    <t>KNJIGA IZDANIH (IZLAZNIH RAČUNA)</t>
  </si>
  <si>
    <t>NAS-003</t>
  </si>
  <si>
    <t>NAS-004</t>
  </si>
  <si>
    <t>NAS-005</t>
  </si>
  <si>
    <t>NAS-006</t>
  </si>
  <si>
    <t>Address:</t>
  </si>
  <si>
    <t>Period:</t>
  </si>
  <si>
    <t>Tax office:</t>
  </si>
  <si>
    <t>Naziv poduzeća:</t>
  </si>
  <si>
    <t>Firmenname:</t>
  </si>
  <si>
    <t>Company name:</t>
  </si>
  <si>
    <t>TAX OFFICE</t>
  </si>
  <si>
    <t>UVA Formular</t>
  </si>
  <si>
    <t xml:space="preserve">STEUERABRECHNUNG DER ERBRACHTEN LIEFERUNGEN UND DIENSTLEISTUNGEN IM GEGEBENEN ZEITRAUM: INSGESAMT (I + II) </t>
  </si>
  <si>
    <t>I. NICHT STEUERBARE UND BEFREITE TRANSAKTIONEN - INSGESAMT (1+2+3+4+5+6+7+8+9+10)</t>
  </si>
  <si>
    <t xml:space="preserve">1.   LIEFERUNGEN NACH KROATIEN BEI DENEN DER LEISTUNGSEMFÄNGER DIE MEHRWERTSTEUER BERECHNET / INLÄNDISCHER ÜBERGANG DER STEUERSCHULD </t>
  </si>
  <si>
    <t>2.   LIEFERUNGEN VON GÜTERN IN ANDERE MITGLIEDSTAATEN</t>
  </si>
  <si>
    <t>3.   LIEFERUNGEN VON GÜTERN INNERHALB DER EU</t>
  </si>
  <si>
    <t>4.   ERBRACHTE DIENSTLEISTUNGEN INNERHALB DER EU</t>
  </si>
  <si>
    <t xml:space="preserve">5.   ERBRACHTE DIENSTLEISTUNGEN AN PERSONEN OHNE SITZ IN KROATIEN       </t>
  </si>
  <si>
    <t>6.   MONTAGE UND INSTALLATION VON GÜTERN IN EINEM ANDEREN MITGLIEDSTAAT</t>
  </si>
  <si>
    <t xml:space="preserve">7.   LIEFERUNGEN VON NEUEN FAHRZEUGEN IN DIE EU </t>
  </si>
  <si>
    <t xml:space="preserve">8.   INLÄNDISCHE LIEFERUNGEN       </t>
  </si>
  <si>
    <t>9.   AUSFUHR DIENSTLEISTUNGEN</t>
  </si>
  <si>
    <t>10.   SONSTIGE BEFREIUNGEN</t>
  </si>
  <si>
    <t>II. STEUERBARE TRANSAKTIONEN – INSGESAMT 
(1+2+3+4+5+6+7+8+9+10+11+12+13+14+15)</t>
  </si>
  <si>
    <t>1.   LIEFERUNGEN VON GÜTERN UND DIENSTLEISTUNGEN IN KROATIEN 
ZUM STEUERSATZ VON 5%</t>
  </si>
  <si>
    <t>2.   LIEFERUNGEN VON GÜTERN UND DIENSTLEISTUNGEN IN KROATIEN 
ZUM STEUERSATZ VON  13%</t>
  </si>
  <si>
    <t>3.   LIEFERUNGEN VON GÜTERN UND DIENSTLEISTUNGEN IN KROATIEN 
ZUM STEUERSATZ VON   25%</t>
  </si>
  <si>
    <t xml:space="preserve">4.  EMPFANGENE LIEFERUNGEN IN KROATIEN BEI DENEN DIE MEHRWERTSTEUER DER EMFÄNGER ABRECHNET (INLÄNDISCHER ÜBERGANG DER STEUERSCHULD) </t>
  </si>
  <si>
    <t>5. ERWERB VON GÜTERN INNERHALB DER EU ZUM STEUERSATZ VON  5%</t>
  </si>
  <si>
    <t>6.  ERWERB VON GÜTERN INNERHALB DER EU ZUM STEUERSATZ VON  13%</t>
  </si>
  <si>
    <t>7.  ERWERB VON GÜTERN INNERHALB DER EU ZUM STEUERSATZ VON  25%</t>
  </si>
  <si>
    <t>8.  EMPFANGENE DIENSTLEISTUNGEN AUS DER EU ZUM STEUERSATZ VON  5%</t>
  </si>
  <si>
    <t>9. EMPFANGENE DIENSTLEISTUNGEN AUS DER EU ZUM STEUERSATZ VON 13%</t>
  </si>
  <si>
    <t>10.  EMPFANGENE DIENSTLEISTUNGEN AUS DER EU ZUM STEUERSATZ VON 25%</t>
  </si>
  <si>
    <t>11. EMPFANGENE LIEFERUNGEN VON GÜTERN UND DIENSTLEISTUNGEN VON STEUERPFLICHTIGEN OHNE SITZ IN KROATIEN ZUM STEUERSATZ VON 5%</t>
  </si>
  <si>
    <t>12. EMPFANGENE LIEFERUNGEN VON GÜTERN UND DIENSTLEISTUNGEN VON STEUERPFLICHTIGEN OHNE SITZ IN KROATIEN ZUM STEUERSATZ VON 13%</t>
  </si>
  <si>
    <t>13. EMPFANGENE LIEFERUNGEN VON GÜTERN UND DIENSTLEISTUNGEN VON STEUERPFLICHTIGEN OHNE SITZ IN KROATIEN ZUM STEUERSATZ VON  25%</t>
  </si>
  <si>
    <t xml:space="preserve">14. NACHTRÄ'GLICHE BEFREIUNG DER AUSFUHR IM RAHMEN DES PERSONENVERKEHRS </t>
  </si>
  <si>
    <t>15. ABGERECHNETE EINFUHRUMSATZSTEUER</t>
  </si>
  <si>
    <t xml:space="preserve">III. ABGERECHNETE VORSTEUER - INSGESAMT (1+2+3+4+ 5 + 6+7+8+9+10+11+12+13+14+15) </t>
  </si>
  <si>
    <t>1. VORSTEUER AUS EMPFANGENEN LIEFERUNGEN IM INLAND 
ZUM STEUERSAZ VON 5%</t>
  </si>
  <si>
    <t>2. VORSTEUER AUS EMPFANGENEN LIEFERUNGEN IM INLAND 
ZUM STEUERSATZ VON 13%</t>
  </si>
  <si>
    <t>3. VORSTEUER AUS EMPFANGENEN LIEFERUNGEN IM INLAND 
ZUM STEUERSAT*Z VON 25%</t>
  </si>
  <si>
    <t xml:space="preserve">4. VORSTEUER AUS EMPFANGENEN LIEFERUNGEN IN KROATIEN BEI DENEN DIE MEHRWERTSTEUER VOM EMFÄNGER ABGERECHENT WIRD / INLÄNDISCHER ÜBERGANG DER STEUERSCHULD  </t>
  </si>
  <si>
    <t>5. VORSTEUER AUS DEM ERWERB VON GÜTERN INNERHALB DER EU 
ZUM STEUERSATZ VON 5%</t>
  </si>
  <si>
    <t>6. VORSTEUER AUS DEM ERWERB VON GÜTERN INNERHALB DER EU ZUM STEUERSATZ VON 13%</t>
  </si>
  <si>
    <t>7. VORSTEUER AUS DEM ERWERB VON GÜTERN INNERHALB DER EU 
ZUM STEUERSATZ VON 25%</t>
  </si>
  <si>
    <t>8. VORSTEUER AUS DEM EMPFANG VON DIENSTLEISTUNGEN AUS DER EU 
ZUM STEUERSATZ VON 5%</t>
  </si>
  <si>
    <t>9. VORSTEUER AUS DEM EMPFANG VON DIENSTLEISTUNGEN AUS DER EU 
ZUM STEUERSATZ VON 13%</t>
  </si>
  <si>
    <t>10. VORSTEUER AUS DEM EMPFANG VON DIENSTLEISTUNGEN AUS DER EU 
ZUM STEUERSATZ VON 25%</t>
  </si>
  <si>
    <t>11. VORSTEUER AUS EMPFANGENEN LIEFERUNGEN VON GÜTERN UND DIENSTLEISTUNGEN VON STEUERPFLICHTIGEN OHNE SITZ IN KROATIEN 
ZUM STEUERSATZ VON 5%</t>
  </si>
  <si>
    <t>12. VORSTEUER AUS EMPFANGENEN LIEFERUNGEN VON GÜTERN UND DIENSTLEISTUNGEN VON STEUERPFLICHTIGEN OHNE SITZ IN KROATIEN 
ZUM STEUERSATZ VON 13%</t>
  </si>
  <si>
    <t>13. VORSTEUER AUS EMPFANGENEN LIEFERUNGEN VON GÜTERN UND DIENSTLEISTUNGEN VON STEUERPFLICHTIGEN OHNE SITZ IN KROATIEN
 ZUM STEUERSATZ VON 25%</t>
  </si>
  <si>
    <t>14. VORSTEUER BEI DER EINFUHR</t>
  </si>
  <si>
    <t>15. BERICHTIGUNG VORSTEUER</t>
  </si>
  <si>
    <t xml:space="preserve">IV. VERBINDLICHKEIT FÜR DEN STEUERZEITRAUM: FÜR DIE EINZAHLUNG (II.-III.) ODER ZUR RÜCKERSTATTUNG (III.-II.) DER UMSATZSTEUER IM ABRECHNUNGSZEITRAUM             </t>
  </si>
  <si>
    <t xml:space="preserve">V. NICHT EINGEZAHLTE UMSATZSTEUER BIS ZUR ABGABE DER ANMELDUNG - MEHR EINGEZAHLT - STEUERKREDIT     </t>
  </si>
  <si>
    <t xml:space="preserve">VI. INSGESAMT DIFFERENZ: FÜR EINZAHLUNG / FÜR RÜCKERSTATTUNG </t>
  </si>
  <si>
    <t>VII. JÄHRLICHER PROPORTIONALER VORSTEUERERSTATTUNGSBETRA (%)</t>
  </si>
  <si>
    <t>Adresse:</t>
  </si>
  <si>
    <t>STEUERNUMMER (UID):</t>
  </si>
  <si>
    <t>NAS-007</t>
  </si>
  <si>
    <t>NAS-008</t>
  </si>
  <si>
    <t>NAS-009</t>
  </si>
  <si>
    <t>Zeitraum:</t>
  </si>
  <si>
    <t>Zuständiges Finanzamt:</t>
  </si>
  <si>
    <t>od:</t>
  </si>
  <si>
    <t>do:</t>
  </si>
  <si>
    <t>godina:</t>
  </si>
  <si>
    <t>von:</t>
  </si>
  <si>
    <t>bis:</t>
  </si>
  <si>
    <t>Jahr:</t>
  </si>
  <si>
    <t>from:</t>
  </si>
  <si>
    <t>until:</t>
  </si>
  <si>
    <t>year:</t>
  </si>
  <si>
    <t>URA-030</t>
  </si>
  <si>
    <t>UKUPNO</t>
  </si>
  <si>
    <t xml:space="preserve">TOTAL </t>
  </si>
  <si>
    <t>STEUERPFLICHTIGER: NAME / NACHNAME</t>
  </si>
  <si>
    <t>ADRESSE: ORT, STRASSE UND HAUSNUMMER</t>
  </si>
  <si>
    <t>BETRAG IN KUNA UND LIPA</t>
  </si>
  <si>
    <t xml:space="preserve">NUMMER </t>
  </si>
  <si>
    <t>RECHNUNG</t>
  </si>
  <si>
    <t>DATUM</t>
  </si>
  <si>
    <t>KUNDE (EMPFÄNGER VON GÜTERN ODER DIENSTLEISTUNGEN)</t>
  </si>
  <si>
    <t>TITEL - NAME UND NACHNAME, GESCHÄFTSSITZ / SITZORT</t>
  </si>
  <si>
    <t>STEUERNUMMER (UID)</t>
  </si>
  <si>
    <t>BETRAG (inklusive Mehrwertsteuern)</t>
  </si>
  <si>
    <t xml:space="preserve">STEUER- UND MEHRWERTSTERERFREIE ERTRÄGE </t>
  </si>
  <si>
    <t>INLAND ÜBERTRAGUNG DER STEUERPFLICHT</t>
  </si>
  <si>
    <t>LIEFERUNG VON GÜTERN IN ANDERE EU MITGLIEDSTAATEN</t>
  </si>
  <si>
    <t>LIEFERUNG VON GÜTERN INNERHALB DER EU</t>
  </si>
  <si>
    <t>IM INLAND</t>
  </si>
  <si>
    <t>EXPORTLIEFERUNG</t>
  </si>
  <si>
    <t>SONSTIGE STEUERBEFREIUNGEN</t>
  </si>
  <si>
    <t xml:space="preserve">STEUERPFLICHTIG </t>
  </si>
  <si>
    <t>STEUER</t>
  </si>
  <si>
    <t xml:space="preserve">ORDNUNGSNUMMER </t>
  </si>
  <si>
    <t>TOTAL</t>
  </si>
  <si>
    <t>STEUERBEFREIUNGEN / ABZUGSFÄHIG</t>
  </si>
  <si>
    <t>ABZUGSFÄHIG</t>
  </si>
  <si>
    <t>NICHT ABZUGSFÄHIG</t>
  </si>
  <si>
    <t xml:space="preserve">NUMMERIERUNG GEMÄSS DEM NATIONALEN KLASSIFIZIERUNGSSYSTEM  </t>
  </si>
  <si>
    <t>LIEFERWERT</t>
  </si>
  <si>
    <t xml:space="preserve">ERBRACHTE DIENSTLEISTUNGEN AN PERSONEN OHNE SITZ IN KROATIEN   </t>
  </si>
  <si>
    <t>ERBRACHTE DIENSTLEISTUNGEN INNERHALB DER EU</t>
  </si>
  <si>
    <t>MONTAGE UND INSTALLATION VON GÜTERN IN EINEM ANDEREN EU MITGLIEDSTAAT</t>
  </si>
  <si>
    <t>STEUERNUMMER (UID)   (3)</t>
  </si>
  <si>
    <t>STEUERPFLICHTIGER  (Titel / Name und Nachname)      (4)</t>
  </si>
  <si>
    <t>Adresse (Ort, Strasse und Hausnummer)    (5)</t>
  </si>
  <si>
    <t>Ordnungsnummer (8)</t>
  </si>
  <si>
    <t>Gesamtwert</t>
  </si>
  <si>
    <t>Hiermit bestätige ich die Richtigkeit der genannten Daten</t>
  </si>
  <si>
    <t>Unterschrift    (20)</t>
  </si>
  <si>
    <t>Berechnung verfasst von (Name und Nachname)  (19)</t>
  </si>
  <si>
    <t>Steuernummer UID des Empfängers (ohne Landesvorwahl)   (10)</t>
  </si>
  <si>
    <t>Wert der Güterlieferung (in Kuna und Lipa)    (11)</t>
  </si>
  <si>
    <t>Wert der Güterlieferung unter dem Verfahren 42 und 63 (in Kuna und Lipa)   (12)</t>
  </si>
  <si>
    <t>Wert der erbrachten Dienstleistungen (in Kuna und Lipa)  (14)</t>
  </si>
  <si>
    <t>Telefonnummer / Fax /E-Mail  (21)</t>
  </si>
  <si>
    <t>STEUERNUMMER (UID) (3)</t>
  </si>
  <si>
    <t>Adresse (Ort, Strasse und Hausnummer)  (5)</t>
  </si>
  <si>
    <t>Ordnugsnummer  (8)</t>
  </si>
  <si>
    <t>Wert der erworbenen Güter (in Kuna und Lipa)  (11)</t>
  </si>
  <si>
    <t>Wert der erhaltenen Dienstleistungen (in Kuna und Lipa)  (12)</t>
  </si>
  <si>
    <t>Berechnung verfasst von (Name und Nachname)  (15)</t>
  </si>
  <si>
    <t>Unterschrift     (16)</t>
  </si>
  <si>
    <t>Telefonnummer / Fax /E-Mail  (17)</t>
  </si>
  <si>
    <t>Steuernummer UID der Lieferanten (ohne Landesvorwahl)  (10)</t>
  </si>
  <si>
    <t>Steuerpflichtiger (Titel/Name und Nachname)  (4)</t>
  </si>
  <si>
    <t>Zusammenfassende Meldung IG Lieferung</t>
  </si>
  <si>
    <t xml:space="preserve">Zusammenfassende Meldung für die Lieferungen von Gütern und Dienstleistungen in andere EU Mitgliedstaten </t>
  </si>
  <si>
    <t>FORMULAR ZM</t>
  </si>
  <si>
    <t>ZUSTÄNDIGES FINANZAMT - REGIONALBÜRO (1)</t>
  </si>
  <si>
    <t>STEUERPFLICHTIGER: TITEL /NAME UND NACHNAME</t>
  </si>
  <si>
    <t>NUMMERIERUNG GEMÄSS DEM NATIONALEN KLASSIFIZIERUNGSSYSTEM</t>
  </si>
  <si>
    <t>AUSGANGSRECHNUNGSBUCH</t>
  </si>
  <si>
    <t>TITEL - NAME UND NACHNAME UND GESCHÄFTSSITZ / SITZORT</t>
  </si>
  <si>
    <t>LIEFERUNG NEUER TRANSPORTMITTEL (NTM) IN DIE EU</t>
  </si>
  <si>
    <t>EINGANGSRECHNUNGBUCH</t>
  </si>
  <si>
    <t>LIEFERANT (ANBIETER VON WAREN UND DIENSTLEISTUNGEN)</t>
  </si>
  <si>
    <t>STEUERPFLICHTIGER (VOR- /NACHNAME UND ADRESSE: Ort, Strasse und Hausnummer)</t>
  </si>
  <si>
    <t>STEUERLICHER VERTRETER
 (VOR- /NACHNAME UND ADRESSE:Ort, Strasse und Hausnummer)</t>
  </si>
  <si>
    <t>GESAMTBETRAG DER RECHNUNG INKLUSIVE MwST.</t>
  </si>
  <si>
    <t>ZUSTÄNDIGES FINANZAMT - STEUERVERWALTUNG (1)</t>
  </si>
  <si>
    <t>REGIONALBÜRO  (2)</t>
  </si>
  <si>
    <t>Landescode (9)</t>
  </si>
  <si>
    <t>Landescode  (9)</t>
  </si>
  <si>
    <t xml:space="preserve">Aussenstelle </t>
  </si>
  <si>
    <t>Steuernummer UID des Steuervertreters   (6)</t>
  </si>
  <si>
    <t xml:space="preserve">Steuernummer UID des Steuervertreters </t>
  </si>
  <si>
    <t>Anmeldung für den Erwerb von Gütern und erhaltene Dienstleistungen aus anderen EU Mitgliedsstaaten für den Monat_____ Jahr</t>
  </si>
  <si>
    <t>Wert der Güterlieferung im Rahmen des Dreiecksgeschäft  (in Kuna und Lipa)   (13)</t>
  </si>
  <si>
    <t>URIC-001</t>
  </si>
  <si>
    <t>URIC-002</t>
  </si>
  <si>
    <t>URIC-003</t>
  </si>
  <si>
    <t>URIC-004</t>
  </si>
  <si>
    <t>URIC-005</t>
  </si>
  <si>
    <t>URIC-006</t>
  </si>
  <si>
    <t>URIC-007</t>
  </si>
  <si>
    <t>URIC-008</t>
  </si>
  <si>
    <t>URIC-009</t>
  </si>
  <si>
    <t>URIC-010</t>
  </si>
  <si>
    <t>URIC-011</t>
  </si>
  <si>
    <t>URIC-012</t>
  </si>
  <si>
    <t>URIC-013</t>
  </si>
  <si>
    <t>URIC-014</t>
  </si>
  <si>
    <t>URIC-015</t>
  </si>
  <si>
    <t>URIC-016</t>
  </si>
  <si>
    <t>URIC-017</t>
  </si>
  <si>
    <t>URIC-018</t>
  </si>
  <si>
    <t>URIC-019</t>
  </si>
  <si>
    <t>URIC-020</t>
  </si>
  <si>
    <t>URIC-021</t>
  </si>
  <si>
    <t>URIC-022</t>
  </si>
  <si>
    <t>URIC-023</t>
  </si>
  <si>
    <t>URIC-024</t>
  </si>
  <si>
    <t>URIC-025</t>
  </si>
  <si>
    <t>URIC-026</t>
  </si>
  <si>
    <t>URIC-027</t>
  </si>
  <si>
    <t>URIC-028</t>
  </si>
  <si>
    <t>URIC-029</t>
  </si>
  <si>
    <t>URIC-030</t>
  </si>
  <si>
    <t>KNJIGA PRIMLJENIH ULAZNIH RAČUNA - STJECANJE IZ EU</t>
  </si>
  <si>
    <t>EINGANGSRECHNUNGBUCH - IG ERWERB</t>
  </si>
  <si>
    <t>LEDGER OF INCOMING INVOICES - IC ACQUISITION</t>
  </si>
  <si>
    <t>URA75-001</t>
  </si>
  <si>
    <t>URA75-002</t>
  </si>
  <si>
    <t>URA75-003</t>
  </si>
  <si>
    <t>URA75-004</t>
  </si>
  <si>
    <t>URA75-005</t>
  </si>
  <si>
    <t>URA75-006</t>
  </si>
  <si>
    <t>URA75-007</t>
  </si>
  <si>
    <t>URA75-008</t>
  </si>
  <si>
    <t>URA75-009</t>
  </si>
  <si>
    <t>URA75-010</t>
  </si>
  <si>
    <t>URA75-011</t>
  </si>
  <si>
    <t>URA75-012</t>
  </si>
  <si>
    <t>URA75-013</t>
  </si>
  <si>
    <t>URA75-014</t>
  </si>
  <si>
    <t>URA75-015</t>
  </si>
  <si>
    <t>URA75-016</t>
  </si>
  <si>
    <t>URA75-017</t>
  </si>
  <si>
    <t>URA75-018</t>
  </si>
  <si>
    <t>URA75-019</t>
  </si>
  <si>
    <t>URA75-020</t>
  </si>
  <si>
    <t>URA75-021</t>
  </si>
  <si>
    <t>URA75-022</t>
  </si>
  <si>
    <t>URA75-023</t>
  </si>
  <si>
    <t>URA75-024</t>
  </si>
  <si>
    <t>URA75-025</t>
  </si>
  <si>
    <t>URA75-026</t>
  </si>
  <si>
    <t>URA75-027</t>
  </si>
  <si>
    <t>URA75-028</t>
  </si>
  <si>
    <t>URA75-029</t>
  </si>
  <si>
    <t>URA75-030</t>
  </si>
  <si>
    <t>KNJIGA PRIMLJENIH ULAZNIH RAČUNA - čl. 75(2)</t>
  </si>
  <si>
    <t>EINGANGSRECHNUNGBUCH - Art 75(2)</t>
  </si>
  <si>
    <t>LEDGER OF INCOMING INVOICES - Art 75(2)</t>
  </si>
  <si>
    <t>0,00 HRK</t>
  </si>
  <si>
    <t>PODGORSKI-BOČEK IVAN</t>
  </si>
  <si>
    <t>ivan.podgorski-bocek@leitnerleitner.com</t>
  </si>
  <si>
    <t>Zagreb</t>
  </si>
  <si>
    <t>Maksimir</t>
  </si>
  <si>
    <t>Berechnung verfasst von (Name und Nachname)</t>
  </si>
  <si>
    <t>Unterschrift</t>
  </si>
  <si>
    <t>Telefonnummer / Fax /E-Mail</t>
  </si>
  <si>
    <t>Zagreb, Odjel za strane porezne obveznike</t>
  </si>
  <si>
    <t>INO-PPO</t>
  </si>
  <si>
    <t>Prijava za stjecanje dobara i primljene usluge iz drugih država članica Europske unije    Za mjesec 06 godina 2017</t>
  </si>
  <si>
    <t>Ukupno:</t>
  </si>
  <si>
    <t>Ukupno</t>
  </si>
  <si>
    <t>06/2020</t>
  </si>
  <si>
    <t>EUR</t>
  </si>
  <si>
    <t>Markus Renz</t>
  </si>
  <si>
    <t>Am Sonnblick 6, Lichtenau</t>
  </si>
  <si>
    <t>HR6411581446</t>
  </si>
  <si>
    <t>01.07.</t>
  </si>
  <si>
    <t>31.07.</t>
  </si>
  <si>
    <t>Crno Vrilo d.o.o.</t>
  </si>
  <si>
    <t>Vegium d.o.o.</t>
  </si>
  <si>
    <t>LeitnerLeitner Consulting d.o.o.</t>
  </si>
  <si>
    <t>Nr. Pdf</t>
  </si>
  <si>
    <t>7/2020</t>
  </si>
  <si>
    <t>DAN</t>
  </si>
  <si>
    <t>tečaj</t>
  </si>
  <si>
    <t>Heinzelova 70, 10000 Zagreb</t>
  </si>
  <si>
    <t>Obala V. Nazora 7, 53288 Karlobag</t>
  </si>
  <si>
    <t>NL805734958B01</t>
  </si>
  <si>
    <t>HRK</t>
  </si>
  <si>
    <t>Nicht anerkannte Rechnungen</t>
  </si>
  <si>
    <t>Belegnr. Im PDF</t>
  </si>
  <si>
    <t>Lieferant</t>
  </si>
  <si>
    <t>Begrüdung</t>
  </si>
  <si>
    <t>Dienstleistung</t>
  </si>
  <si>
    <t>Notwendig für PDV-S</t>
  </si>
  <si>
    <t>Wechselkurs</t>
  </si>
  <si>
    <t>Ware oder Dienstleistung</t>
  </si>
  <si>
    <t>PDF-file:</t>
  </si>
  <si>
    <t>Obala V. Nazora 7/1, 53288 Karlobag</t>
  </si>
  <si>
    <t>HEP Elektra d.o.o.</t>
  </si>
  <si>
    <t>Ulica grada Vukovara 37, Zagreb</t>
  </si>
  <si>
    <t>83.1</t>
  </si>
  <si>
    <t>157/PP1/1</t>
  </si>
  <si>
    <t>Desjoyaux Bazeni</t>
  </si>
  <si>
    <t>Ulica grada Vukovara 226, Zagreb</t>
  </si>
  <si>
    <t>556/PP1/1</t>
  </si>
  <si>
    <t>booking.com</t>
  </si>
  <si>
    <t>Herengracht 597, 1017 Amsterdam</t>
  </si>
  <si>
    <t>23-2018</t>
  </si>
  <si>
    <t>VSL KG</t>
  </si>
  <si>
    <t>Poigen 82</t>
  </si>
  <si>
    <t>ATU78104908</t>
  </si>
  <si>
    <t>2203277403</t>
  </si>
  <si>
    <t>2203277517</t>
  </si>
  <si>
    <t>2203277404</t>
  </si>
  <si>
    <t>2205443</t>
  </si>
  <si>
    <t>EUROHERC</t>
  </si>
  <si>
    <t>Riva 8, 51000 Rijeka</t>
  </si>
  <si>
    <t>2923-LLC-360</t>
  </si>
  <si>
    <t>18902-11230</t>
  </si>
  <si>
    <t>18929-11230</t>
  </si>
  <si>
    <t>18910-11235</t>
  </si>
  <si>
    <t>6300114795-290-4</t>
  </si>
  <si>
    <t>Hrvatski Telekomm d.d.</t>
  </si>
  <si>
    <t>Radnicka cesta 21, 10135 Zagreb</t>
  </si>
  <si>
    <t>2203282605</t>
  </si>
  <si>
    <t>3248-LLC-360</t>
  </si>
  <si>
    <t>18902-12237</t>
  </si>
  <si>
    <t>18910-12231</t>
  </si>
  <si>
    <t>18929-12236</t>
  </si>
  <si>
    <t>18902-1241</t>
  </si>
  <si>
    <t>18910-1245</t>
  </si>
  <si>
    <t>18929-1249</t>
  </si>
  <si>
    <t>3568-LLC-360</t>
  </si>
  <si>
    <t>107-1123</t>
  </si>
  <si>
    <t>Hennerbichler-Einfalt Theresa</t>
  </si>
  <si>
    <t>108-424</t>
  </si>
  <si>
    <t>Jozef Olgyai</t>
  </si>
  <si>
    <t>Hygi.de GmbH</t>
  </si>
  <si>
    <t>48283 Telgte</t>
  </si>
  <si>
    <t>DE257224517</t>
  </si>
  <si>
    <t>18902-2248</t>
  </si>
  <si>
    <t>18929-2245</t>
  </si>
  <si>
    <t>18910-2241</t>
  </si>
  <si>
    <t>116-LLC-360</t>
  </si>
  <si>
    <t>TFFGJ5SP-2024-01</t>
  </si>
  <si>
    <t>stripe payments Europe</t>
  </si>
  <si>
    <t>Dublin</t>
  </si>
  <si>
    <t>IE3206488LH</t>
  </si>
  <si>
    <t>24-01837</t>
  </si>
  <si>
    <t>WHAT event GmbH</t>
  </si>
  <si>
    <t>Wienerstr., 3730 Eggenburg</t>
  </si>
  <si>
    <t>ATU70343014</t>
  </si>
  <si>
    <t>Leiner&amp;kika GmbH</t>
  </si>
  <si>
    <t>Wienerstr., 3500 Krems</t>
  </si>
  <si>
    <t>ATU68711888</t>
  </si>
  <si>
    <t>88924-607-600</t>
  </si>
  <si>
    <t>Hrvatske autoceste d.o.o.</t>
  </si>
  <si>
    <t>Ulica stjepana Sirole, Zagreb</t>
  </si>
  <si>
    <t>129523-607-600</t>
  </si>
  <si>
    <t>Wania GmbH</t>
  </si>
  <si>
    <t>Gewerbestr.1, 3623 Kottes</t>
  </si>
  <si>
    <t>ATU56902999</t>
  </si>
  <si>
    <t>RE20241082</t>
  </si>
  <si>
    <t>Werbepanorama</t>
  </si>
  <si>
    <t>Bahnstr.7, 3580 Horn</t>
  </si>
  <si>
    <t>ATU74028278</t>
  </si>
  <si>
    <t>440-LLC-360</t>
  </si>
  <si>
    <t>18929-3241</t>
  </si>
  <si>
    <t>18910-3248</t>
  </si>
  <si>
    <t>18902-3244</t>
  </si>
  <si>
    <t>TFFGJ5SP-2024-02</t>
  </si>
  <si>
    <t>24-01861</t>
  </si>
  <si>
    <t>W901-02-691240312892</t>
  </si>
  <si>
    <t>DARS Autoceste</t>
  </si>
  <si>
    <t>3000 Celje</t>
  </si>
  <si>
    <t>SI92473717</t>
  </si>
  <si>
    <t>TFFGJ5SP-2024-03</t>
  </si>
  <si>
    <t>24-01885</t>
  </si>
  <si>
    <t>Aigner und Auer</t>
  </si>
  <si>
    <t>Hauptstr. 42, 3623 Kottes</t>
  </si>
  <si>
    <t>ATU64152179</t>
  </si>
  <si>
    <t>773-LLC-360</t>
  </si>
  <si>
    <t>RLH Zwettl,</t>
  </si>
  <si>
    <t>Pater Werner Deibl 1, Zwettl</t>
  </si>
  <si>
    <t>ATU16319106</t>
  </si>
  <si>
    <t>Scubanautic</t>
  </si>
  <si>
    <t>Wienerstr. 166, St.Pölten</t>
  </si>
  <si>
    <t>ATU51256607</t>
  </si>
  <si>
    <t>6300114795-999-2</t>
  </si>
  <si>
    <t>18902-5247</t>
  </si>
  <si>
    <t>18929-5244</t>
  </si>
  <si>
    <t>18910-5240</t>
  </si>
  <si>
    <t>1104-LLC-360</t>
  </si>
  <si>
    <t>18902-4240</t>
  </si>
  <si>
    <t>18910-4244</t>
  </si>
  <si>
    <t>18929-4248</t>
  </si>
  <si>
    <t>1264-202</t>
  </si>
  <si>
    <t>Zeller Christian</t>
  </si>
  <si>
    <t>3522 Lichtenau 96</t>
  </si>
  <si>
    <t>ATU72841008</t>
  </si>
  <si>
    <t>Sonnentor KräutergmbH</t>
  </si>
  <si>
    <t>3913 Sprögnitz 10</t>
  </si>
  <si>
    <t>ATU38904708</t>
  </si>
  <si>
    <t>109-524</t>
  </si>
  <si>
    <t>Christina Groißböck-Foramitti</t>
  </si>
  <si>
    <t>Thomas Stiegler</t>
  </si>
  <si>
    <t>110-524</t>
  </si>
  <si>
    <t>6300114795-297-1</t>
  </si>
  <si>
    <t>1432-LLC-360</t>
  </si>
  <si>
    <t>18902-6243</t>
  </si>
  <si>
    <t>111-624</t>
  </si>
  <si>
    <t>112-624</t>
  </si>
  <si>
    <t>113-624</t>
  </si>
  <si>
    <t>114-624</t>
  </si>
  <si>
    <t>115-624</t>
  </si>
  <si>
    <t>Grzyb Tomasz</t>
  </si>
  <si>
    <t>Sekutowitcz Marcin</t>
  </si>
  <si>
    <t>Auer Josef</t>
  </si>
  <si>
    <t xml:space="preserve">Fertl </t>
  </si>
  <si>
    <t>Paminger Bettina</t>
  </si>
  <si>
    <t>TFFGJ5SP-2024-05</t>
  </si>
  <si>
    <t>531/00000030</t>
  </si>
  <si>
    <t>Sportisimo Adria d.o.o.</t>
  </si>
  <si>
    <t>Horvatova ulica 80A, Zagreb</t>
  </si>
  <si>
    <t>R1 br. 1-1-1</t>
  </si>
  <si>
    <t>Bocak j.d.o.o.</t>
  </si>
  <si>
    <t>I ulica 22, 53287 Prizna</t>
  </si>
  <si>
    <t>Abgabe der Buchhaltung per Ende Juni 2024</t>
  </si>
  <si>
    <t>18910-6247</t>
  </si>
  <si>
    <t>18929-6240</t>
  </si>
  <si>
    <t>1764-LLC-360</t>
  </si>
  <si>
    <t>18902-7240</t>
  </si>
  <si>
    <t>18910-7243</t>
  </si>
  <si>
    <t>18929-7247</t>
  </si>
  <si>
    <t>6300114795-298-0</t>
  </si>
  <si>
    <t>TFFGJ5SP-2024-06</t>
  </si>
  <si>
    <t>398/PP1/1</t>
  </si>
  <si>
    <t>R1 br. 2-1-1</t>
  </si>
  <si>
    <t>R1 br. 3-1-1</t>
  </si>
  <si>
    <t>Abgabe der Buchhaltung per Ende Juli 2024</t>
  </si>
  <si>
    <t>Abgabe mit Buchhaltung per Ende Juni 2024</t>
  </si>
  <si>
    <t>116-724</t>
  </si>
  <si>
    <t>Jasaitiene Banga</t>
  </si>
  <si>
    <t>117-724</t>
  </si>
  <si>
    <t>Mario Either</t>
  </si>
  <si>
    <t>118-724</t>
  </si>
  <si>
    <t>Anesa Causevic</t>
  </si>
  <si>
    <t>119-724</t>
  </si>
  <si>
    <t>Angelika Lintner</t>
  </si>
  <si>
    <t>120-724</t>
  </si>
  <si>
    <t>Peter Neiszl</t>
  </si>
  <si>
    <t>121-724</t>
  </si>
  <si>
    <t>Schönwetter Matthias</t>
  </si>
  <si>
    <t>122-724</t>
  </si>
  <si>
    <t>Kabil Yahya</t>
  </si>
  <si>
    <t>123-724</t>
  </si>
  <si>
    <t>Yvonne Berroth</t>
  </si>
  <si>
    <t>Abgabe mit Buchhaltung per Ende Juli 2024</t>
  </si>
  <si>
    <t>,</t>
  </si>
  <si>
    <t>124-824</t>
  </si>
  <si>
    <t>125-824</t>
  </si>
  <si>
    <t>126-824</t>
  </si>
  <si>
    <t>127-824</t>
  </si>
  <si>
    <t>128-824</t>
  </si>
  <si>
    <t>129-824</t>
  </si>
  <si>
    <t>130-824</t>
  </si>
  <si>
    <t>131-824</t>
  </si>
  <si>
    <t>132-824</t>
  </si>
  <si>
    <t>133-824</t>
  </si>
  <si>
    <t>134-824</t>
  </si>
  <si>
    <t>135-824</t>
  </si>
  <si>
    <t>136-824</t>
  </si>
  <si>
    <t>137-824</t>
  </si>
  <si>
    <t>Sebastian Kolek</t>
  </si>
  <si>
    <t>Kovacs Ronald</t>
  </si>
  <si>
    <t>Andrea Szöcs</t>
  </si>
  <si>
    <t>Andrea Gats</t>
  </si>
  <si>
    <t>Bercsene Gresner Emese</t>
  </si>
  <si>
    <t>Auinger Peter</t>
  </si>
  <si>
    <t>Isabell Gehring</t>
  </si>
  <si>
    <t>Iwona Kociszewska</t>
  </si>
  <si>
    <t>Eva Huemer</t>
  </si>
  <si>
    <t>Georg Dick</t>
  </si>
  <si>
    <t>Szeverina Bogdan</t>
  </si>
  <si>
    <t>Patricia Läpple</t>
  </si>
  <si>
    <t>Mario Knof</t>
  </si>
  <si>
    <t>Abgabe mit Buchhaltung per Ende August 2024</t>
  </si>
  <si>
    <t>6300114795-299-8</t>
  </si>
  <si>
    <t>18902-8246</t>
  </si>
  <si>
    <t>18929-8243</t>
  </si>
  <si>
    <t>18910-8240</t>
  </si>
  <si>
    <t>TFFGJ5SP-2024-07</t>
  </si>
  <si>
    <t>2088-LLC-360</t>
  </si>
  <si>
    <t>R1 br. 4-1-1</t>
  </si>
  <si>
    <t>41532/5/1</t>
  </si>
  <si>
    <t>Vrkljan d.o.o.</t>
  </si>
  <si>
    <t>Kralja Zvonimira 14, 5300 Gospic</t>
  </si>
  <si>
    <t>191/H026/826</t>
  </si>
  <si>
    <t>Telemach</t>
  </si>
  <si>
    <t>Kaniska 9, 53000 Gospic</t>
  </si>
  <si>
    <t>R1 br. 5-1-1</t>
  </si>
  <si>
    <t>6300114795-300-5</t>
  </si>
  <si>
    <t>Abgabe der Buchhaltung per Ende August 2024</t>
  </si>
  <si>
    <t>138-924</t>
  </si>
  <si>
    <t>Kosik Akos</t>
  </si>
  <si>
    <t>Noemie Dietens</t>
  </si>
  <si>
    <t>139-924</t>
  </si>
  <si>
    <t>140-924</t>
  </si>
  <si>
    <t>Marie Lombard</t>
  </si>
  <si>
    <t>141-924</t>
  </si>
  <si>
    <t>Marie Vokata</t>
  </si>
  <si>
    <t>142-924</t>
  </si>
  <si>
    <t>Emese Bercsene Grezner</t>
  </si>
  <si>
    <t>143-924</t>
  </si>
  <si>
    <t>Veronika Molnar</t>
  </si>
  <si>
    <t>144-924</t>
  </si>
  <si>
    <t>Karin Rehakova</t>
  </si>
  <si>
    <t>145-924</t>
  </si>
  <si>
    <t>Svitlana Havryshchuk</t>
  </si>
  <si>
    <t>146-924</t>
  </si>
  <si>
    <t>Peter Auinger</t>
  </si>
  <si>
    <t>147-924</t>
  </si>
  <si>
    <t>Melanie Hutter</t>
  </si>
  <si>
    <t>148-924</t>
  </si>
  <si>
    <t>Josef Zak</t>
  </si>
  <si>
    <t>0007-2024</t>
  </si>
  <si>
    <t>Kaufmann Josef</t>
  </si>
  <si>
    <t>Abgabe mit Buchhaltung per Ende September 2024</t>
  </si>
  <si>
    <t>18929-9240</t>
  </si>
  <si>
    <t>18910-9246</t>
  </si>
  <si>
    <t>18902-9242</t>
  </si>
  <si>
    <t>2425-LLC-360</t>
  </si>
  <si>
    <t>R1 br. 6-1-1</t>
  </si>
  <si>
    <t>TFFGJ5SP-2024-08</t>
  </si>
  <si>
    <t>24-2034</t>
  </si>
  <si>
    <t>Fröhlich Fabian</t>
  </si>
  <si>
    <t>Poigen 82, A-3580 Horn</t>
  </si>
  <si>
    <t>6300114795-301-3</t>
  </si>
  <si>
    <t>Arturas Jasaitis</t>
  </si>
  <si>
    <t>Ringstr.68, D-63303 Dreieich</t>
  </si>
  <si>
    <t>DE242923495</t>
  </si>
  <si>
    <t>Abgabe der Buchhaltung per Ende September 2024</t>
  </si>
  <si>
    <t>2728-LLC-360</t>
  </si>
  <si>
    <t>Abgabe der Buchhaltung per Ende Dezember 2024</t>
  </si>
  <si>
    <t>4047974433-202409-7</t>
  </si>
  <si>
    <t>Hrvatska Radiotelevizija</t>
  </si>
  <si>
    <t>Prisavlje 3, 10000 Zagreb</t>
  </si>
  <si>
    <t>18902-10242</t>
  </si>
  <si>
    <t>18910-10247</t>
  </si>
  <si>
    <t>18929-10241</t>
  </si>
  <si>
    <t>4047974433-202410-0</t>
  </si>
  <si>
    <t>18902-11249</t>
  </si>
  <si>
    <t>18929-11248</t>
  </si>
  <si>
    <t>18910-11243</t>
  </si>
  <si>
    <t>3049-LLC-360</t>
  </si>
  <si>
    <t>6300114795-302-1</t>
  </si>
  <si>
    <t>2203277517-241020-3</t>
  </si>
  <si>
    <t>2203277404-241020-2</t>
  </si>
  <si>
    <t>2203277403-241020-0</t>
  </si>
  <si>
    <t>2203282605-241020-6</t>
  </si>
  <si>
    <t>4047974433-202411-9</t>
  </si>
  <si>
    <t>18910-12240</t>
  </si>
  <si>
    <t>18929-12244</t>
  </si>
  <si>
    <t>18902-12245</t>
  </si>
  <si>
    <t>6300114795-303-0</t>
  </si>
  <si>
    <t>3383-LLC-360</t>
  </si>
  <si>
    <t>2203277517-241120-0</t>
  </si>
  <si>
    <t>2203282605-241120-2</t>
  </si>
  <si>
    <t>2203277403-241120-6</t>
  </si>
  <si>
    <t>2203277404-241120-9</t>
  </si>
  <si>
    <t>4047974433-202412-7</t>
  </si>
  <si>
    <t>61310-5-1</t>
  </si>
  <si>
    <t>Vrkljan doo</t>
  </si>
  <si>
    <t>Kralja Zvonimira 14, 53000 Gospic</t>
  </si>
  <si>
    <t>2203282605-241220-9</t>
  </si>
  <si>
    <t>2203277517-241220-6</t>
  </si>
  <si>
    <t>2203277404-241220-5</t>
  </si>
  <si>
    <t>2203277403-241220-2</t>
  </si>
  <si>
    <t>3713-LLC-360</t>
  </si>
  <si>
    <t>18910-1253</t>
  </si>
  <si>
    <t>18929-1257</t>
  </si>
  <si>
    <t>18902-1250</t>
  </si>
  <si>
    <t>6300114795-304-8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</si>
</sst>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\ &quot;kn&quot;"/>
  </numFmts>
  <fonts count="24" x14ac:knownFonts="1">
    <font>
      <sz val="10"/>
      <color theme="1"/>
      <name val="Verdana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 tint="0.34998626667073579"/>
      <name val="Verdana"/>
      <family val="2"/>
      <charset val="238"/>
    </font>
    <font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8"/>
      <color rgb="FF000000"/>
      <name val="Tahoma"/>
      <family val="2"/>
      <charset val="238"/>
    </font>
    <font>
      <b/>
      <sz val="11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u/>
      <sz val="10"/>
      <color theme="10"/>
      <name val="Verdana"/>
      <family val="2"/>
      <charset val="238"/>
    </font>
    <font>
      <b/>
      <sz val="16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12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Verdana"/>
      <family val="2"/>
      <charset val="238"/>
    </font>
    <font>
      <b/>
      <sz val="10"/>
      <color theme="1"/>
      <name val="Verdana"/>
      <family val="2"/>
    </font>
    <font>
      <sz val="9"/>
      <color rgb="FF484C50"/>
      <name val="Arial"/>
      <family val="2"/>
    </font>
    <font>
      <sz val="8.75"/>
      <color rgb="FF484C50"/>
      <name val="Arial"/>
      <family val="2"/>
    </font>
    <font>
      <sz val="8"/>
      <name val="Verdan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/>
    <xf numFmtId="0" fontId="7" fillId="0" borderId="0"/>
    <xf numFmtId="0" fontId="6" fillId="0" borderId="0"/>
    <xf numFmtId="0" fontId="9" fillId="4" borderId="0">
      <alignment horizontal="left" vertical="top"/>
    </xf>
    <xf numFmtId="0" fontId="12" fillId="0" borderId="0" applyNumberFormat="0" applyFill="0" applyBorder="0" applyAlignment="0" applyProtection="0"/>
    <xf numFmtId="0" fontId="17" fillId="0" borderId="0"/>
    <xf numFmtId="43" fontId="6" fillId="0" borderId="0" applyFont="0" applyFill="0" applyBorder="0" applyAlignment="0" applyProtection="0"/>
    <xf numFmtId="0" fontId="2" fillId="0" borderId="0"/>
    <xf numFmtId="0" fontId="1" fillId="0" borderId="0"/>
  </cellStyleXfs>
  <cellXfs count="39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0" xfId="0" applyFont="1"/>
    <xf numFmtId="0" fontId="0" fillId="0" borderId="18" xfId="0" applyBorder="1" applyAlignment="1">
      <alignment wrapText="1"/>
    </xf>
    <xf numFmtId="0" fontId="0" fillId="0" borderId="18" xfId="0" applyBorder="1"/>
    <xf numFmtId="0" fontId="0" fillId="0" borderId="18" xfId="0" applyBorder="1" applyAlignment="1">
      <alignment vertical="top" wrapText="1"/>
    </xf>
    <xf numFmtId="0" fontId="0" fillId="0" borderId="19" xfId="0" applyBorder="1"/>
    <xf numFmtId="0" fontId="0" fillId="0" borderId="21" xfId="0" applyBorder="1"/>
    <xf numFmtId="0" fontId="0" fillId="0" borderId="22" xfId="0" applyBorder="1" applyAlignment="1">
      <alignment horizontal="center" wrapText="1"/>
    </xf>
    <xf numFmtId="0" fontId="0" fillId="0" borderId="24" xfId="0" applyBorder="1"/>
    <xf numFmtId="0" fontId="3" fillId="0" borderId="20" xfId="0" applyFont="1" applyBorder="1" applyAlignment="1">
      <alignment vertical="center" wrapText="1"/>
    </xf>
    <xf numFmtId="0" fontId="3" fillId="0" borderId="18" xfId="0" applyFont="1" applyBorder="1" applyAlignment="1">
      <alignment wrapText="1"/>
    </xf>
    <xf numFmtId="0" fontId="0" fillId="0" borderId="28" xfId="0" applyBorder="1"/>
    <xf numFmtId="0" fontId="3" fillId="0" borderId="16" xfId="0" applyFont="1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vertical="top" wrapText="1"/>
    </xf>
    <xf numFmtId="0" fontId="3" fillId="0" borderId="18" xfId="0" applyFont="1" applyBorder="1"/>
    <xf numFmtId="0" fontId="3" fillId="0" borderId="19" xfId="0" applyFont="1" applyBorder="1" applyAlignment="1">
      <alignment wrapText="1"/>
    </xf>
    <xf numFmtId="0" fontId="0" fillId="0" borderId="0" xfId="0" applyAlignment="1">
      <alignment horizontal="left"/>
    </xf>
    <xf numFmtId="4" fontId="3" fillId="0" borderId="12" xfId="2" applyNumberFormat="1" applyFont="1" applyBorder="1"/>
    <xf numFmtId="4" fontId="3" fillId="0" borderId="1" xfId="2" applyNumberFormat="1" applyFont="1" applyBorder="1" applyAlignment="1">
      <alignment horizontal="right"/>
    </xf>
    <xf numFmtId="4" fontId="3" fillId="0" borderId="17" xfId="2" applyNumberFormat="1" applyFont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5" fillId="0" borderId="18" xfId="0" applyFont="1" applyBorder="1" applyAlignment="1">
      <alignment wrapText="1"/>
    </xf>
    <xf numFmtId="0" fontId="0" fillId="0" borderId="0" xfId="0" quotePrefix="1" applyAlignment="1">
      <alignment wrapText="1"/>
    </xf>
    <xf numFmtId="0" fontId="0" fillId="0" borderId="0" xfId="0" applyAlignment="1">
      <alignment wrapText="1"/>
    </xf>
    <xf numFmtId="4" fontId="0" fillId="0" borderId="1" xfId="0" applyNumberFormat="1" applyBorder="1"/>
    <xf numFmtId="17" fontId="0" fillId="0" borderId="0" xfId="0" applyNumberFormat="1"/>
    <xf numFmtId="2" fontId="0" fillId="0" borderId="0" xfId="0" applyNumberFormat="1"/>
    <xf numFmtId="0" fontId="0" fillId="0" borderId="10" xfId="0" applyBorder="1" applyAlignment="1">
      <alignment horizontal="center" vertical="center"/>
    </xf>
    <xf numFmtId="2" fontId="0" fillId="0" borderId="1" xfId="0" applyNumberFormat="1" applyBorder="1"/>
    <xf numFmtId="4" fontId="0" fillId="0" borderId="0" xfId="0" applyNumberFormat="1"/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17" fontId="3" fillId="0" borderId="0" xfId="0" applyNumberFormat="1" applyFont="1"/>
    <xf numFmtId="14" fontId="0" fillId="0" borderId="1" xfId="0" applyNumberFormat="1" applyBorder="1" applyAlignment="1">
      <alignment horizontal="center"/>
    </xf>
    <xf numFmtId="0" fontId="0" fillId="3" borderId="0" xfId="0" applyFill="1"/>
    <xf numFmtId="9" fontId="0" fillId="0" borderId="0" xfId="0" applyNumberFormat="1"/>
    <xf numFmtId="0" fontId="8" fillId="0" borderId="0" xfId="0" applyFont="1"/>
    <xf numFmtId="49" fontId="0" fillId="0" borderId="0" xfId="0" applyNumberFormat="1"/>
    <xf numFmtId="0" fontId="3" fillId="3" borderId="0" xfId="0" applyFont="1" applyFill="1"/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16" fontId="0" fillId="0" borderId="0" xfId="0" applyNumberFormat="1"/>
    <xf numFmtId="0" fontId="0" fillId="0" borderId="29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/>
    <xf numFmtId="4" fontId="3" fillId="0" borderId="35" xfId="2" applyNumberFormat="1" applyFont="1" applyBorder="1"/>
    <xf numFmtId="4" fontId="0" fillId="0" borderId="36" xfId="0" applyNumberFormat="1" applyBorder="1" applyAlignment="1">
      <alignment horizontal="right"/>
    </xf>
    <xf numFmtId="4" fontId="0" fillId="0" borderId="36" xfId="0" applyNumberFormat="1" applyBorder="1"/>
    <xf numFmtId="4" fontId="3" fillId="0" borderId="35" xfId="0" applyNumberFormat="1" applyFont="1" applyBorder="1"/>
    <xf numFmtId="0" fontId="4" fillId="2" borderId="37" xfId="0" applyFont="1" applyFill="1" applyBorder="1"/>
    <xf numFmtId="0" fontId="12" fillId="0" borderId="1" xfId="4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top"/>
    </xf>
    <xf numFmtId="0" fontId="5" fillId="0" borderId="1" xfId="0" applyFont="1" applyBorder="1"/>
    <xf numFmtId="0" fontId="18" fillId="0" borderId="39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/>
    <xf numFmtId="0" fontId="5" fillId="0" borderId="38" xfId="0" applyFont="1" applyBorder="1" applyAlignment="1">
      <alignment horizontal="center" vertical="center"/>
    </xf>
    <xf numFmtId="14" fontId="5" fillId="0" borderId="38" xfId="0" applyNumberFormat="1" applyFont="1" applyBorder="1" applyAlignment="1">
      <alignment horizontal="center" vertical="center"/>
    </xf>
    <xf numFmtId="0" fontId="5" fillId="0" borderId="39" xfId="0" applyFont="1" applyBorder="1" applyAlignment="1">
      <alignment vertical="center"/>
    </xf>
    <xf numFmtId="4" fontId="5" fillId="0" borderId="39" xfId="0" applyNumberFormat="1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4" fontId="5" fillId="0" borderId="40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41" xfId="0" applyFont="1" applyBorder="1" applyAlignment="1">
      <alignment vertical="center"/>
    </xf>
    <xf numFmtId="4" fontId="5" fillId="0" borderId="41" xfId="0" applyNumberFormat="1" applyFont="1" applyBorder="1" applyAlignment="1">
      <alignment vertical="center"/>
    </xf>
    <xf numFmtId="0" fontId="18" fillId="0" borderId="41" xfId="0" applyFont="1" applyBorder="1" applyAlignment="1">
      <alignment vertical="center"/>
    </xf>
    <xf numFmtId="4" fontId="3" fillId="0" borderId="0" xfId="0" applyNumberFormat="1" applyFont="1"/>
    <xf numFmtId="0" fontId="5" fillId="0" borderId="42" xfId="0" applyFont="1" applyBorder="1" applyAlignment="1">
      <alignment vertical="center"/>
    </xf>
    <xf numFmtId="0" fontId="5" fillId="0" borderId="39" xfId="0" applyFont="1" applyBorder="1" applyAlignment="1">
      <alignment horizontal="center" vertical="center"/>
    </xf>
    <xf numFmtId="49" fontId="5" fillId="0" borderId="43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43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44" xfId="0" applyFont="1" applyBorder="1" applyAlignment="1">
      <alignment vertical="center"/>
    </xf>
    <xf numFmtId="4" fontId="0" fillId="0" borderId="10" xfId="0" applyNumberFormat="1" applyBorder="1"/>
    <xf numFmtId="0" fontId="20" fillId="0" borderId="0" xfId="0" applyFont="1"/>
    <xf numFmtId="43" fontId="0" fillId="0" borderId="14" xfId="6" applyFont="1" applyBorder="1" applyAlignment="1"/>
    <xf numFmtId="43" fontId="0" fillId="0" borderId="13" xfId="6" applyFont="1" applyBorder="1" applyAlignment="1"/>
    <xf numFmtId="2" fontId="5" fillId="0" borderId="1" xfId="0" applyNumberFormat="1" applyFont="1" applyBorder="1"/>
    <xf numFmtId="0" fontId="21" fillId="0" borderId="0" xfId="0" applyFont="1"/>
    <xf numFmtId="0" fontId="0" fillId="0" borderId="14" xfId="0" applyBorder="1" applyAlignment="1">
      <alignment horizontal="center"/>
    </xf>
    <xf numFmtId="0" fontId="5" fillId="0" borderId="13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4" fontId="5" fillId="0" borderId="1" xfId="0" applyNumberFormat="1" applyFont="1" applyBorder="1"/>
    <xf numFmtId="0" fontId="5" fillId="0" borderId="0" xfId="0" applyFont="1"/>
    <xf numFmtId="49" fontId="5" fillId="0" borderId="10" xfId="0" applyNumberFormat="1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2" fillId="0" borderId="0" xfId="7"/>
    <xf numFmtId="14" fontId="2" fillId="0" borderId="0" xfId="7" applyNumberFormat="1"/>
    <xf numFmtId="49" fontId="0" fillId="0" borderId="1" xfId="0" applyNumberFormat="1" applyBorder="1"/>
    <xf numFmtId="4" fontId="19" fillId="3" borderId="1" xfId="0" applyNumberFormat="1" applyFont="1" applyFill="1" applyBorder="1"/>
    <xf numFmtId="0" fontId="22" fillId="3" borderId="0" xfId="0" applyFont="1" applyFill="1" applyAlignment="1">
      <alignment horizontal="right" vertical="top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4" fontId="5" fillId="0" borderId="1" xfId="0" applyNumberFormat="1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19" fillId="0" borderId="0" xfId="0" applyNumberFormat="1" applyFont="1"/>
    <xf numFmtId="4" fontId="19" fillId="3" borderId="0" xfId="0" applyNumberFormat="1" applyFont="1" applyFill="1"/>
    <xf numFmtId="49" fontId="0" fillId="0" borderId="1" xfId="0" applyNumberFormat="1" applyBorder="1" applyAlignment="1">
      <alignment horizontal="center"/>
    </xf>
    <xf numFmtId="0" fontId="0" fillId="0" borderId="45" xfId="0" applyBorder="1"/>
    <xf numFmtId="0" fontId="5" fillId="0" borderId="45" xfId="0" applyFont="1" applyBorder="1" applyAlignment="1">
      <alignment horizontal="center" vertical="center"/>
    </xf>
    <xf numFmtId="0" fontId="0" fillId="0" borderId="46" xfId="0" applyBorder="1" applyAlignment="1">
      <alignment horizontal="center"/>
    </xf>
    <xf numFmtId="0" fontId="5" fillId="0" borderId="17" xfId="0" applyFont="1" applyBorder="1" applyAlignment="1">
      <alignment horizontal="center"/>
    </xf>
    <xf numFmtId="4" fontId="5" fillId="0" borderId="17" xfId="0" applyNumberFormat="1" applyFont="1" applyBorder="1" applyAlignment="1">
      <alignment horizontal="center"/>
    </xf>
    <xf numFmtId="4" fontId="5" fillId="0" borderId="17" xfId="0" applyNumberFormat="1" applyFont="1" applyBorder="1"/>
    <xf numFmtId="2" fontId="5" fillId="0" borderId="17" xfId="0" applyNumberFormat="1" applyFont="1" applyBorder="1"/>
    <xf numFmtId="0" fontId="5" fillId="0" borderId="17" xfId="0" applyFont="1" applyBorder="1"/>
    <xf numFmtId="0" fontId="5" fillId="0" borderId="10" xfId="0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/>
    <xf numFmtId="0" fontId="5" fillId="0" borderId="10" xfId="0" applyFont="1" applyBorder="1"/>
    <xf numFmtId="0" fontId="0" fillId="0" borderId="26" xfId="0" applyBorder="1"/>
    <xf numFmtId="0" fontId="5" fillId="0" borderId="48" xfId="0" applyFont="1" applyBorder="1" applyAlignment="1">
      <alignment horizontal="left"/>
    </xf>
    <xf numFmtId="0" fontId="5" fillId="0" borderId="26" xfId="0" applyFont="1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left"/>
    </xf>
    <xf numFmtId="49" fontId="0" fillId="0" borderId="22" xfId="0" applyNumberFormat="1" applyBorder="1"/>
    <xf numFmtId="49" fontId="0" fillId="0" borderId="12" xfId="0" applyNumberFormat="1" applyBorder="1"/>
    <xf numFmtId="0" fontId="0" fillId="0" borderId="2" xfId="0" applyBorder="1" applyAlignment="1">
      <alignment horizontal="center"/>
    </xf>
    <xf numFmtId="0" fontId="0" fillId="0" borderId="49" xfId="0" applyBorder="1" applyAlignment="1">
      <alignment horizontal="center"/>
    </xf>
    <xf numFmtId="14" fontId="20" fillId="0" borderId="22" xfId="0" applyNumberFormat="1" applyFont="1" applyBorder="1" applyAlignment="1">
      <alignment horizontal="center"/>
    </xf>
    <xf numFmtId="14" fontId="0" fillId="0" borderId="12" xfId="0" applyNumberFormat="1" applyBorder="1" applyAlignment="1">
      <alignment horizontal="center"/>
    </xf>
    <xf numFmtId="0" fontId="0" fillId="0" borderId="47" xfId="0" applyBorder="1" applyAlignment="1">
      <alignment horizontal="center"/>
    </xf>
    <xf numFmtId="49" fontId="0" fillId="0" borderId="17" xfId="0" applyNumberFormat="1" applyBorder="1"/>
    <xf numFmtId="0" fontId="0" fillId="0" borderId="7" xfId="0" applyBorder="1" applyAlignment="1">
      <alignment horizontal="center"/>
    </xf>
    <xf numFmtId="0" fontId="0" fillId="0" borderId="10" xfId="0" applyBorder="1"/>
    <xf numFmtId="0" fontId="5" fillId="0" borderId="4" xfId="0" applyFont="1" applyBorder="1" applyAlignment="1">
      <alignment horizontal="left"/>
    </xf>
    <xf numFmtId="0" fontId="5" fillId="0" borderId="10" xfId="0" applyFont="1" applyBorder="1" applyAlignment="1">
      <alignment horizontal="right"/>
    </xf>
    <xf numFmtId="49" fontId="0" fillId="0" borderId="10" xfId="0" applyNumberFormat="1" applyBorder="1"/>
    <xf numFmtId="14" fontId="0" fillId="0" borderId="10" xfId="0" applyNumberFormat="1" applyBorder="1" applyAlignment="1">
      <alignment horizontal="center"/>
    </xf>
    <xf numFmtId="14" fontId="0" fillId="0" borderId="17" xfId="0" applyNumberFormat="1" applyBorder="1" applyAlignment="1">
      <alignment horizontal="center"/>
    </xf>
    <xf numFmtId="0" fontId="0" fillId="0" borderId="17" xfId="0" applyBorder="1"/>
    <xf numFmtId="0" fontId="5" fillId="0" borderId="50" xfId="0" applyFont="1" applyBorder="1" applyAlignment="1">
      <alignment horizontal="left"/>
    </xf>
    <xf numFmtId="0" fontId="5" fillId="0" borderId="17" xfId="0" applyFont="1" applyBorder="1" applyAlignment="1">
      <alignment horizontal="right"/>
    </xf>
    <xf numFmtId="0" fontId="0" fillId="0" borderId="12" xfId="0" applyBorder="1"/>
    <xf numFmtId="0" fontId="5" fillId="0" borderId="9" xfId="0" applyFont="1" applyBorder="1" applyAlignment="1">
      <alignment horizontal="left"/>
    </xf>
    <xf numFmtId="0" fontId="5" fillId="0" borderId="12" xfId="0" applyFont="1" applyBorder="1" applyAlignment="1">
      <alignment horizontal="right"/>
    </xf>
    <xf numFmtId="0" fontId="0" fillId="0" borderId="51" xfId="0" applyBorder="1" applyAlignment="1">
      <alignment horizontal="center"/>
    </xf>
    <xf numFmtId="49" fontId="0" fillId="0" borderId="52" xfId="0" applyNumberFormat="1" applyBorder="1"/>
    <xf numFmtId="14" fontId="0" fillId="0" borderId="52" xfId="0" applyNumberFormat="1" applyBorder="1" applyAlignment="1">
      <alignment horizontal="center"/>
    </xf>
    <xf numFmtId="0" fontId="0" fillId="0" borderId="52" xfId="0" applyBorder="1"/>
    <xf numFmtId="0" fontId="5" fillId="0" borderId="52" xfId="0" applyFont="1" applyBorder="1" applyAlignment="1">
      <alignment horizontal="right"/>
    </xf>
    <xf numFmtId="1" fontId="5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52" xfId="0" applyBorder="1" applyAlignment="1">
      <alignment horizontal="center"/>
    </xf>
    <xf numFmtId="49" fontId="0" fillId="0" borderId="52" xfId="0" applyNumberFormat="1" applyBorder="1" applyAlignment="1">
      <alignment horizontal="center"/>
    </xf>
    <xf numFmtId="0" fontId="5" fillId="0" borderId="52" xfId="0" applyFont="1" applyBorder="1" applyAlignment="1">
      <alignment horizontal="center"/>
    </xf>
    <xf numFmtId="0" fontId="0" fillId="0" borderId="55" xfId="0" applyBorder="1" applyAlignment="1">
      <alignment horizontal="center"/>
    </xf>
    <xf numFmtId="49" fontId="0" fillId="0" borderId="24" xfId="0" applyNumberFormat="1" applyBorder="1"/>
    <xf numFmtId="14" fontId="0" fillId="0" borderId="24" xfId="0" applyNumberFormat="1" applyBorder="1" applyAlignment="1">
      <alignment horizontal="center"/>
    </xf>
    <xf numFmtId="1" fontId="5" fillId="0" borderId="10" xfId="0" applyNumberFormat="1" applyFont="1" applyBorder="1" applyAlignment="1">
      <alignment horizontal="center" vertical="center"/>
    </xf>
    <xf numFmtId="1" fontId="5" fillId="0" borderId="17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49" fontId="0" fillId="0" borderId="11" xfId="0" applyNumberFormat="1" applyBorder="1"/>
    <xf numFmtId="14" fontId="0" fillId="0" borderId="11" xfId="0" applyNumberFormat="1" applyBorder="1" applyAlignment="1">
      <alignment horizontal="center"/>
    </xf>
    <xf numFmtId="0" fontId="5" fillId="0" borderId="10" xfId="0" applyFont="1" applyBorder="1" applyAlignment="1">
      <alignment horizontal="left"/>
    </xf>
    <xf numFmtId="14" fontId="0" fillId="0" borderId="0" xfId="0" applyNumberForma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0" borderId="0" xfId="0" applyNumberFormat="1" applyFont="1"/>
    <xf numFmtId="2" fontId="5" fillId="0" borderId="0" xfId="0" applyNumberFormat="1" applyFont="1"/>
    <xf numFmtId="4" fontId="20" fillId="0" borderId="0" xfId="0" applyNumberFormat="1" applyFont="1"/>
    <xf numFmtId="0" fontId="5" fillId="0" borderId="56" xfId="0" applyFont="1" applyBorder="1" applyAlignment="1">
      <alignment horizontal="left"/>
    </xf>
    <xf numFmtId="1" fontId="5" fillId="0" borderId="52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5" borderId="48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53" xfId="0" applyFill="1" applyBorder="1" applyAlignment="1">
      <alignment horizontal="center"/>
    </xf>
    <xf numFmtId="0" fontId="0" fillId="5" borderId="54" xfId="0" applyFill="1" applyBorder="1" applyAlignment="1">
      <alignment horizontal="center"/>
    </xf>
    <xf numFmtId="0" fontId="0" fillId="5" borderId="46" xfId="0" applyFill="1" applyBorder="1" applyAlignment="1">
      <alignment horizontal="center"/>
    </xf>
    <xf numFmtId="0" fontId="0" fillId="0" borderId="11" xfId="0" applyBorder="1"/>
    <xf numFmtId="0" fontId="5" fillId="0" borderId="6" xfId="0" applyFont="1" applyBorder="1" applyAlignment="1">
      <alignment horizontal="left"/>
    </xf>
    <xf numFmtId="0" fontId="5" fillId="0" borderId="11" xfId="0" applyFont="1" applyBorder="1" applyAlignment="1">
      <alignment horizontal="right"/>
    </xf>
    <xf numFmtId="0" fontId="5" fillId="0" borderId="17" xfId="0" applyFont="1" applyBorder="1" applyAlignment="1">
      <alignment horizontal="left"/>
    </xf>
    <xf numFmtId="0" fontId="0" fillId="0" borderId="24" xfId="0" applyBorder="1" applyAlignment="1">
      <alignment horizontal="center"/>
    </xf>
    <xf numFmtId="1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1" fontId="5" fillId="0" borderId="11" xfId="0" applyNumberFormat="1" applyFont="1" applyBorder="1" applyAlignment="1">
      <alignment horizontal="center" vertical="center"/>
    </xf>
    <xf numFmtId="1" fontId="5" fillId="0" borderId="26" xfId="0" applyNumberFormat="1" applyFont="1" applyBorder="1" applyAlignment="1">
      <alignment horizontal="center" vertical="center"/>
    </xf>
    <xf numFmtId="0" fontId="5" fillId="0" borderId="53" xfId="0" applyFont="1" applyBorder="1" applyAlignment="1">
      <alignment horizontal="left"/>
    </xf>
    <xf numFmtId="0" fontId="5" fillId="0" borderId="24" xfId="0" applyFont="1" applyBorder="1" applyAlignment="1">
      <alignment horizontal="right"/>
    </xf>
    <xf numFmtId="0" fontId="0" fillId="6" borderId="0" xfId="0" applyFill="1" applyAlignment="1">
      <alignment horizontal="center"/>
    </xf>
    <xf numFmtId="49" fontId="0" fillId="0" borderId="26" xfId="0" applyNumberFormat="1" applyBorder="1"/>
    <xf numFmtId="0" fontId="5" fillId="0" borderId="26" xfId="0" applyFont="1" applyBorder="1" applyAlignment="1">
      <alignment horizontal="center"/>
    </xf>
    <xf numFmtId="0" fontId="5" fillId="0" borderId="44" xfId="0" applyFont="1" applyBorder="1" applyAlignment="1">
      <alignment vertical="center"/>
    </xf>
    <xf numFmtId="49" fontId="5" fillId="0" borderId="11" xfId="0" applyNumberFormat="1" applyFont="1" applyBorder="1" applyAlignment="1">
      <alignment horizontal="center" vertical="center"/>
    </xf>
    <xf numFmtId="14" fontId="5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5" borderId="38" xfId="0" applyFont="1" applyFill="1" applyBorder="1" applyAlignment="1">
      <alignment horizontal="center" vertical="center"/>
    </xf>
    <xf numFmtId="0" fontId="5" fillId="5" borderId="39" xfId="0" applyFont="1" applyFill="1" applyBorder="1" applyAlignment="1">
      <alignment horizontal="center" vertical="center"/>
    </xf>
    <xf numFmtId="0" fontId="5" fillId="5" borderId="41" xfId="0" applyFont="1" applyFill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49" fontId="5" fillId="0" borderId="62" xfId="0" applyNumberFormat="1" applyFont="1" applyBorder="1" applyAlignment="1">
      <alignment horizontal="center" vertical="center"/>
    </xf>
    <xf numFmtId="14" fontId="5" fillId="0" borderId="62" xfId="0" applyNumberFormat="1" applyFont="1" applyBorder="1" applyAlignment="1">
      <alignment horizontal="center" vertical="center"/>
    </xf>
    <xf numFmtId="0" fontId="5" fillId="0" borderId="62" xfId="0" applyFont="1" applyBorder="1" applyAlignment="1">
      <alignment vertical="center"/>
    </xf>
    <xf numFmtId="0" fontId="5" fillId="0" borderId="63" xfId="0" applyFont="1" applyBorder="1" applyAlignment="1">
      <alignment vertical="center"/>
    </xf>
    <xf numFmtId="0" fontId="5" fillId="0" borderId="64" xfId="0" applyFont="1" applyBorder="1" applyAlignment="1">
      <alignment horizontal="center" vertical="center"/>
    </xf>
    <xf numFmtId="49" fontId="5" fillId="0" borderId="65" xfId="0" applyNumberFormat="1" applyFont="1" applyBorder="1" applyAlignment="1">
      <alignment horizontal="center" vertical="center"/>
    </xf>
    <xf numFmtId="14" fontId="5" fillId="0" borderId="65" xfId="0" applyNumberFormat="1" applyFont="1" applyBorder="1" applyAlignment="1">
      <alignment horizontal="center" vertical="center"/>
    </xf>
    <xf numFmtId="0" fontId="5" fillId="0" borderId="65" xfId="0" applyFont="1" applyBorder="1" applyAlignment="1">
      <alignment vertical="center"/>
    </xf>
    <xf numFmtId="0" fontId="5" fillId="0" borderId="66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5" borderId="57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14" fontId="5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67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49" fontId="5" fillId="0" borderId="69" xfId="0" applyNumberFormat="1" applyFont="1" applyBorder="1" applyAlignment="1">
      <alignment horizontal="center" vertical="center"/>
    </xf>
    <xf numFmtId="14" fontId="5" fillId="0" borderId="69" xfId="0" applyNumberFormat="1" applyFont="1" applyBorder="1" applyAlignment="1">
      <alignment horizontal="center" vertical="center"/>
    </xf>
    <xf numFmtId="0" fontId="5" fillId="0" borderId="69" xfId="0" applyFont="1" applyBorder="1" applyAlignment="1">
      <alignment vertical="center"/>
    </xf>
    <xf numFmtId="0" fontId="0" fillId="0" borderId="7" xfId="0" applyBorder="1" applyAlignment="1">
      <alignment horizontal="center"/>
    </xf>
    <xf numFmtId="0" fontId="5" fillId="0" borderId="1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11" xfId="0" applyFont="1" applyBorder="1" applyAlignment="1">
      <alignment horizontal="center"/>
    </xf>
    <xf numFmtId="0" fontId="0" fillId="0" borderId="46" xfId="0" applyFill="1" applyBorder="1" applyAlignment="1">
      <alignment horizontal="center"/>
    </xf>
    <xf numFmtId="49" fontId="5" fillId="0" borderId="70" xfId="0" applyNumberFormat="1" applyFont="1" applyBorder="1" applyAlignment="1">
      <alignment horizontal="center" vertical="center"/>
    </xf>
    <xf numFmtId="14" fontId="5" fillId="0" borderId="70" xfId="0" applyNumberFormat="1" applyFont="1" applyBorder="1" applyAlignment="1">
      <alignment horizontal="center" vertical="center"/>
    </xf>
    <xf numFmtId="0" fontId="5" fillId="0" borderId="70" xfId="0" applyFont="1" applyBorder="1" applyAlignment="1">
      <alignment vertical="center"/>
    </xf>
    <xf numFmtId="49" fontId="5" fillId="0" borderId="71" xfId="0" applyNumberFormat="1" applyFont="1" applyBorder="1" applyAlignment="1">
      <alignment horizontal="center" vertical="center"/>
    </xf>
    <xf numFmtId="14" fontId="5" fillId="0" borderId="71" xfId="0" applyNumberFormat="1" applyFont="1" applyBorder="1" applyAlignment="1">
      <alignment horizontal="center" vertical="center"/>
    </xf>
    <xf numFmtId="0" fontId="5" fillId="0" borderId="71" xfId="0" applyFont="1" applyBorder="1" applyAlignment="1">
      <alignment vertical="center"/>
    </xf>
    <xf numFmtId="0" fontId="0" fillId="6" borderId="0" xfId="0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textRotation="90" wrapText="1"/>
    </xf>
    <xf numFmtId="0" fontId="0" fillId="0" borderId="11" xfId="0" applyBorder="1" applyAlignment="1">
      <alignment horizontal="center" textRotation="90" wrapText="1"/>
    </xf>
    <xf numFmtId="0" fontId="0" fillId="0" borderId="12" xfId="0" applyBorder="1" applyAlignment="1">
      <alignment horizontal="center" textRotation="90" wrapText="1"/>
    </xf>
    <xf numFmtId="0" fontId="3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9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49" fontId="16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49" fontId="5" fillId="5" borderId="14" xfId="0" applyNumberFormat="1" applyFont="1" applyFill="1" applyBorder="1" applyAlignment="1">
      <alignment horizontal="center" vertical="center"/>
    </xf>
    <xf numFmtId="49" fontId="5" fillId="5" borderId="15" xfId="0" applyNumberFormat="1" applyFont="1" applyFill="1" applyBorder="1" applyAlignment="1">
      <alignment horizontal="center" vertical="center"/>
    </xf>
    <xf numFmtId="49" fontId="5" fillId="5" borderId="13" xfId="0" applyNumberFormat="1" applyFont="1" applyFill="1" applyBorder="1" applyAlignment="1">
      <alignment horizontal="center" vertical="center"/>
    </xf>
    <xf numFmtId="49" fontId="5" fillId="5" borderId="58" xfId="0" applyNumberFormat="1" applyFont="1" applyFill="1" applyBorder="1" applyAlignment="1">
      <alignment horizontal="center" vertical="center"/>
    </xf>
    <xf numFmtId="49" fontId="5" fillId="5" borderId="59" xfId="0" applyNumberFormat="1" applyFont="1" applyFill="1" applyBorder="1" applyAlignment="1">
      <alignment horizontal="center" vertical="center"/>
    </xf>
    <xf numFmtId="49" fontId="5" fillId="5" borderId="60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6" borderId="14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textRotation="76"/>
    </xf>
    <xf numFmtId="0" fontId="0" fillId="0" borderId="0" xfId="0" applyAlignment="1">
      <alignment horizontal="center" textRotation="75"/>
    </xf>
    <xf numFmtId="9" fontId="0" fillId="0" borderId="10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6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1" fillId="0" borderId="33" xfId="0" applyFont="1" applyBorder="1" applyAlignment="1">
      <alignment horizontal="center" wrapText="1"/>
    </xf>
    <xf numFmtId="0" fontId="11" fillId="0" borderId="32" xfId="0" applyFont="1" applyBorder="1" applyAlignment="1">
      <alignment horizontal="center" wrapText="1"/>
    </xf>
    <xf numFmtId="0" fontId="12" fillId="0" borderId="2" xfId="4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2" fontId="0" fillId="0" borderId="14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43" fontId="0" fillId="0" borderId="2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43" fontId="0" fillId="0" borderId="14" xfId="6" applyFont="1" applyBorder="1" applyAlignment="1">
      <alignment horizontal="center" vertical="center"/>
    </xf>
    <xf numFmtId="43" fontId="0" fillId="0" borderId="13" xfId="6" applyFont="1" applyBorder="1" applyAlignment="1">
      <alignment horizontal="center" vertical="center"/>
    </xf>
    <xf numFmtId="43" fontId="0" fillId="0" borderId="14" xfId="6" applyFont="1" applyBorder="1" applyAlignment="1">
      <alignment horizontal="center"/>
    </xf>
    <xf numFmtId="43" fontId="0" fillId="0" borderId="13" xfId="6" applyFont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46" xfId="0" applyBorder="1"/>
    <xf numFmtId="0" fontId="0" fillId="0" borderId="0" xfId="0" applyBorder="1"/>
    <xf numFmtId="0" fontId="0" fillId="0" borderId="54" xfId="0" applyBorder="1"/>
    <xf numFmtId="0" fontId="0" fillId="5" borderId="0" xfId="0" applyFill="1" applyBorder="1" applyAlignment="1">
      <alignment horizontal="center"/>
    </xf>
    <xf numFmtId="0" fontId="5" fillId="5" borderId="67" xfId="0" applyFont="1" applyFill="1" applyBorder="1" applyAlignment="1">
      <alignment horizontal="center" vertical="center"/>
    </xf>
  </cellXfs>
  <cellStyles count="9">
    <cellStyle name="Hyperlink" xfId="4" builtinId="8"/>
    <cellStyle name="Komma" xfId="6" builtinId="3"/>
    <cellStyle name="Normal 2" xfId="2"/>
    <cellStyle name="Normal 3" xfId="1"/>
    <cellStyle name="Normal 3 2" xfId="8"/>
    <cellStyle name="Normalno 2" xfId="5"/>
    <cellStyle name="Normalno 3" xfId="7"/>
    <cellStyle name="S1" xf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Knjiga_izlaznih_ra&#269;una_05_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Knjiga_ulaznih_ra&#269;una_04_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PDV_UVA_VA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zp_05_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njiga_I-RA"/>
      <sheetName val="PIVOT"/>
    </sheetNames>
    <sheetDataSet>
      <sheetData sheetId="0">
        <row r="3">
          <cell r="B3" t="str">
            <v>POREZNI OBVEZNIK: NAZIV/ IME I PREZIME</v>
          </cell>
        </row>
        <row r="6">
          <cell r="B6" t="str">
            <v xml:space="preserve">ADRESA:MJESTO, ULICA I BROJ </v>
          </cell>
        </row>
        <row r="13">
          <cell r="B13" t="str">
            <v xml:space="preserve">PDV ID.BR./   </v>
          </cell>
        </row>
        <row r="17">
          <cell r="S17" t="str">
            <v>IZNOS U KUNAMA I LIPAMA</v>
          </cell>
        </row>
        <row r="19">
          <cell r="A19" t="str">
            <v xml:space="preserve"> RED.BR.</v>
          </cell>
          <cell r="B19" t="str">
            <v xml:space="preserve">RAČUN </v>
          </cell>
          <cell r="D19" t="str">
            <v>KUPAC( PRIMATELJ DOBRA ILI USLUGA)</v>
          </cell>
          <cell r="G19" t="str">
            <v>IZNOS( s PDV-om)</v>
          </cell>
          <cell r="H19" t="str">
            <v>NE PODLIJEZE OPOREZIVANJU I OSLOBOĐENO PDV-a</v>
          </cell>
          <cell r="R19" t="str">
            <v xml:space="preserve">OPOREZIVO </v>
          </cell>
        </row>
        <row r="21">
          <cell r="B21" t="str">
            <v xml:space="preserve">BROJ </v>
          </cell>
          <cell r="C21" t="str">
            <v>DATUM</v>
          </cell>
          <cell r="D21" t="str">
            <v>NAZIV- IME I PREZIME I SJEDIŠTE/ PREBIVALIŠTE UKU UOBIČAJENO BORAVIŠTE</v>
          </cell>
          <cell r="F21" t="str">
            <v>( PDV ID. BR./ OIB)</v>
          </cell>
          <cell r="H21" t="str">
            <v>TUZEMNI PRIJENOST POREZNE OBVEZE</v>
          </cell>
          <cell r="I21" t="str">
            <v xml:space="preserve">ISPORUKE DOBARA U DRUGIM DRŽAVAMA ČLANICAMA </v>
          </cell>
          <cell r="J21" t="str">
            <v>ISPORUKE DOBARA UNUTAR EU</v>
          </cell>
          <cell r="K21" t="str">
            <v xml:space="preserve">OBAVLJENE USLUGE  UNUTAR EU </v>
          </cell>
          <cell r="L21" t="str">
            <v>OBAVLJENE USLUGE OSOBAMA BEZ SJEDIŠTA U RH</v>
          </cell>
          <cell r="M21" t="str">
            <v>SASTAVLJANJE I POSTAVLJANJE DOBARA U DRUGOJ DRŽAVI ČLANICI</v>
          </cell>
          <cell r="N21" t="str">
            <v>ISPORUKE NPS U EU</v>
          </cell>
          <cell r="O21" t="str">
            <v>U TUZEMSTVU</v>
          </cell>
          <cell r="P21" t="str">
            <v>IZVOZNE ISPORUKE</v>
          </cell>
          <cell r="Q21" t="str">
            <v>OSTALA OSLOBOĐENJA</v>
          </cell>
        </row>
        <row r="23">
          <cell r="R23" t="str">
            <v>OSNOVICA</v>
          </cell>
          <cell r="S23" t="str">
            <v>POREZ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njiga_U-RA"/>
    </sheetNames>
    <sheetDataSet>
      <sheetData sheetId="0" refreshError="1">
        <row r="3">
          <cell r="B3" t="str">
            <v>POREZNI OBVEZNIK: NAZIV/ IME I PREZIME</v>
          </cell>
        </row>
        <row r="6">
          <cell r="B6" t="str">
            <v xml:space="preserve">ADRESA:MJESTO, ULICA I BROJ </v>
          </cell>
        </row>
        <row r="13">
          <cell r="B13" t="str">
            <v xml:space="preserve">PDV ID.BR./   </v>
          </cell>
        </row>
        <row r="16">
          <cell r="N16" t="str">
            <v>IZNOS U KUNAMA I LIPAMA</v>
          </cell>
        </row>
        <row r="19">
          <cell r="A19" t="str">
            <v xml:space="preserve"> RED.BR.</v>
          </cell>
          <cell r="B19" t="str">
            <v xml:space="preserve">RAČUN </v>
          </cell>
          <cell r="D19" t="str">
            <v>DOBAVLJAČ ( ISPORUČITELJ DOBARA ILI USLUGA)</v>
          </cell>
          <cell r="M19" t="str">
            <v xml:space="preserve">POREZ </v>
          </cell>
        </row>
        <row r="21">
          <cell r="B21" t="str">
            <v xml:space="preserve">BROJ </v>
          </cell>
          <cell r="C21" t="str">
            <v>DATUM</v>
          </cell>
          <cell r="D21" t="str">
            <v>NAZIV- IME I PREZIME I SJEDIŠTE/ PREBIVALIŠTE ILI UOBIČAJENO BORAVIŠTE</v>
          </cell>
          <cell r="F21" t="str">
            <v>( PDV ID. BR)</v>
          </cell>
          <cell r="G21" t="str">
            <v xml:space="preserve">POREZNA OSNOVICA </v>
          </cell>
          <cell r="J21" t="str">
            <v>UKUPNI IZNOS RAČUNA S PDV-om</v>
          </cell>
          <cell r="K21" t="str">
            <v>OSLOBOĐENO POREZA / NEOPOREZIVO</v>
          </cell>
        </row>
        <row r="23">
          <cell r="M23" t="str">
            <v xml:space="preserve">MOŽE SE ODBITI  </v>
          </cell>
          <cell r="N23" t="str">
            <v xml:space="preserve">NE MOŽE SE ODBIT 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DV"/>
      <sheetName val="UVA-DE"/>
      <sheetName val="VAT_ENG"/>
    </sheetNames>
    <sheetDataSet>
      <sheetData sheetId="0">
        <row r="8">
          <cell r="G8" t="str">
            <v>PDV PO STOPI 5%, 13% i 25% 
(iznos u kunama i lipama)</v>
          </cell>
        </row>
        <row r="9">
          <cell r="A9" t="str">
            <v xml:space="preserve"> OBRAČUN PDV-a U OBALJENIM TRANSAKCIJAMA
 DOBARA I USLUGA - UKUPNO (I. + II.)</v>
          </cell>
        </row>
        <row r="10">
          <cell r="A10" t="str">
            <v xml:space="preserve"> I. TRANSAKCIJE KOJE NE PODLIJEŽU OPOREZIVANJU I        OSLOBOĐENE - UKUPNO (1.+2.+3.+4.+5.+6.+7.+8.+9.+10.)</v>
          </cell>
        </row>
        <row r="11">
          <cell r="A11" t="str">
            <v>1. ISPORUKE U RH ZA KOJE PDV OBRAČUNAVA PRIMATELJ (tuzemni prijenos porezne obveze)</v>
          </cell>
        </row>
        <row r="12">
          <cell r="A12" t="str">
            <v>2.ISPORUKE DOBARA OBAVLJENE U DRUGIM DRŽAVAMA 
ČLANICAMA</v>
          </cell>
        </row>
        <row r="13">
          <cell r="A13" t="str">
            <v>3. ISPORUKE DOBARA UNUTAR EU</v>
          </cell>
        </row>
        <row r="14">
          <cell r="A14" t="str">
            <v>4. OBAVLJENE USLUGE UNUTAR EU</v>
          </cell>
        </row>
        <row r="15">
          <cell r="A15" t="str">
            <v>5. OBAVLJENE USLUGE OSOBAMA BEZ SJEDIŠTA U RH</v>
          </cell>
        </row>
        <row r="16">
          <cell r="A16" t="str">
            <v>6. SASTAVLJANJE I POSTAVLJANJE DOBARA U DRUGOJ
DRŽAVI ČLANICI EU</v>
          </cell>
        </row>
        <row r="17">
          <cell r="A17" t="str">
            <v>7. ISPORUKE NOVIH PRIJEVOZNIH SREDSTAVA U EU</v>
          </cell>
        </row>
        <row r="18">
          <cell r="A18" t="str">
            <v>8. TUZEMNE ISPORUKE</v>
          </cell>
        </row>
        <row r="19">
          <cell r="A19" t="str">
            <v>9. IZVOZNE ISPORUKE</v>
          </cell>
        </row>
        <row r="20">
          <cell r="A20" t="str">
            <v>10. OSTALA OSLOBOĐENJA</v>
          </cell>
        </row>
        <row r="21">
          <cell r="A21" t="str">
            <v>II. OPOREZIVE TRANSAKCIJE - UKUPNO
(1.+2.+3.+4.+5.+6.+7.+8.+9.+10.+11.+12.+13.+14.+15.)</v>
          </cell>
        </row>
        <row r="22">
          <cell r="A22" t="str">
            <v>1. ISPORUKE DOBARA I USLUGA U RH PO STOPI 5%</v>
          </cell>
        </row>
        <row r="23">
          <cell r="A23" t="str">
            <v>2. ISPORUKE DOBARA I USLUGA U RH PO STOPI 13%</v>
          </cell>
        </row>
        <row r="24">
          <cell r="A24" t="str">
            <v>3. ISPORUKE DOBARA I USLUGA U RH PO STOPI 25%</v>
          </cell>
        </row>
        <row r="25">
          <cell r="A25" t="str">
            <v>4. PRIMLJENE ISPORUKE U RH ZA KOJE PDV OBRAČUNAVA 
PRIMATELJ (tuzemni prijenos porezne obveze)</v>
          </cell>
        </row>
        <row r="26">
          <cell r="A26" t="str">
            <v>5. STJECANJE DOBARA UNUTAR EU PO STOPI 5%</v>
          </cell>
        </row>
        <row r="27">
          <cell r="A27" t="str">
            <v>6. STJECANJE DOBARA UNUTAR EU PO STOPI 13%</v>
          </cell>
        </row>
        <row r="28">
          <cell r="A28" t="str">
            <v>7. STJECANJE DOBARA UNUTAR EU PO STOPI 25%</v>
          </cell>
        </row>
        <row r="29">
          <cell r="A29" t="str">
            <v>8. PRIMLJENE USLUGE IZ EU PO STOPI 5%</v>
          </cell>
        </row>
        <row r="30">
          <cell r="A30" t="str">
            <v>9. PRIMLJENE USLUGE IZ EU PO STOPI 13%</v>
          </cell>
        </row>
        <row r="31">
          <cell r="A31" t="str">
            <v>10. PRIMLJENE USLUGE IZ EU PO STOPI 25%</v>
          </cell>
        </row>
        <row r="32">
          <cell r="A32" t="str">
            <v>11. PRIMLJENE ISPORUKE DOBARA I USLUGA OD 
POREZNIH OBVEZNIKA BEZ SJEDIŠTA U RH PO STOPI 5%</v>
          </cell>
        </row>
        <row r="33">
          <cell r="A33" t="str">
            <v>12. PRIMLJENE ISPORUKE DOBARA I USLUGA OD 
POREZNIH OBVEZNIKA BEZ SJEDIŠTA U RH PO STOPI 13%</v>
          </cell>
        </row>
        <row r="34">
          <cell r="A34" t="str">
            <v>13. PRIMLJENE ISPORUKE DOBARA I USLUGA OD 
POREZNIH OBVEZNIKA BEZ SJEDIŠTA U RH PO STOPI 25%</v>
          </cell>
        </row>
        <row r="35">
          <cell r="A35" t="str">
            <v>14. NAKNADNO OSLOBOĐENJE IZVOZA U OKVIRU 
OSOBNOG PUTNIČKOG PROMETA</v>
          </cell>
        </row>
        <row r="36">
          <cell r="A36" t="str">
            <v>15. OBRAČUNANI PDV PRI UVOZU</v>
          </cell>
        </row>
        <row r="37">
          <cell r="A37" t="str">
            <v>III. OBRAČUNANI PRETPOREZ - UKUPNO 
(1.+2.+.3.+4.+5.+6.+7.+8.+9.+10.+11.+12.+13.+14.+15.)</v>
          </cell>
        </row>
        <row r="38">
          <cell r="A38" t="str">
            <v>1. PRETPOREZ OD PRIMLJENIH ISPORUKA U TUZEMSTVO po stopi od 5%</v>
          </cell>
        </row>
        <row r="39">
          <cell r="A39" t="str">
            <v>2. PRETPOREZ OD PRIMLJENIH ISPORUKA U TUZEMSTVO po stopi od 13%</v>
          </cell>
        </row>
        <row r="40">
          <cell r="A40" t="str">
            <v>3. PRETPOREZ OD PRIMLJENIH ISPORUKA U TUZEMSTVO po stopi od 25%</v>
          </cell>
        </row>
        <row r="41">
          <cell r="A41" t="str">
            <v>4. PRETPOREZ OD PRIMLJENIH ISPORUKA U RH ZA KOJE
PDV OBRAČUNAVA PRIMATELJ
(tuzemni prijenos porezne obveze)</v>
          </cell>
        </row>
        <row r="42">
          <cell r="A42" t="str">
            <v>5. PRETPOREZ OD STJECANJA DOBARA UNUTAR EU po stopi od 5%</v>
          </cell>
        </row>
        <row r="43">
          <cell r="A43" t="str">
            <v>6. PRETPOREZ OD STJECANJA DOBARA UNUTAR EU po stopi od 13%</v>
          </cell>
        </row>
        <row r="44">
          <cell r="A44" t="str">
            <v>7. PRETPOREZ OD STJECANJA DOBARA UNUTAR EU po stopi od 25%</v>
          </cell>
        </row>
        <row r="45">
          <cell r="A45" t="str">
            <v>8.PRETPOREU OD PRIMLJENIH USLUGA IZ EU po stopi od 5%</v>
          </cell>
        </row>
        <row r="46">
          <cell r="A46" t="str">
            <v>9.PRETPOREZ OD PRIMLJENIH USLUGA IZ EU po stopi od 13%</v>
          </cell>
        </row>
        <row r="47">
          <cell r="A47" t="str">
            <v>10.PRETPOREZ OD PRIMLJENIH USLUGA IZ EU po stopi 25%</v>
          </cell>
        </row>
        <row r="48">
          <cell r="A48" t="str">
            <v>11. PRIMLJENE ISPORUKE DOBARA I USLUGA OD 
POREZNIH OBVEZNIKA BEZ SJEDIŠTA U RH PO STOPI 5%</v>
          </cell>
        </row>
        <row r="49">
          <cell r="A49" t="str">
            <v>12. PRIMLJENE ISPORUKE DOBARA I USLUGA OD 
POREZNIH OBVEZNIKA BEZ SJEDIŠTA U RH PO STOPI 13%</v>
          </cell>
        </row>
        <row r="50">
          <cell r="A50" t="str">
            <v>13. PRIMLJENE ISPORUKE DOBARA I USLUGA OD 
POREZNIH OBVEZNIKA BEZ SJEDIŠTA U RH PO STOPI 25%</v>
          </cell>
        </row>
        <row r="51">
          <cell r="A51" t="str">
            <v>14.PRETPOREZ PRI UVOZU</v>
          </cell>
        </row>
        <row r="52">
          <cell r="A52" t="str">
            <v>15.ISPRAVCI PRETPOREZA</v>
          </cell>
        </row>
        <row r="53">
          <cell r="A53" t="str">
            <v>IV. OBVEZA PDV-a U OBRAČUNSKOM RAZDOBLJU:
ZA UPLATU (II.-III.) ILI ZA POVRAT (III.-II.)</v>
          </cell>
        </row>
        <row r="54">
          <cell r="A54" t="str">
            <v>V. PO PRETHODNOM OBRAČUNU: NEUPLAĆENI PDV DO DANA
PODNOŠENJA OVE PRIJAVE - VIŠE UPLAĆENO - POREZNI KREDIT</v>
          </cell>
        </row>
        <row r="55">
          <cell r="A55" t="str">
            <v>VI. UKUPNO RAZLIKA: ZA UPLATU/ZA POVRAT</v>
          </cell>
        </row>
        <row r="57">
          <cell r="A57" t="str">
            <v>VII. IZNOS GODIŠNJEG RAZMJERNOG 
ODBITKA PRETPOREZA (%)</v>
          </cell>
        </row>
      </sheetData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P"/>
    </sheetNames>
    <sheetDataSet>
      <sheetData sheetId="0">
        <row r="1">
          <cell r="V1" t="str">
            <v>OBRAZAC ZP</v>
          </cell>
        </row>
        <row r="3">
          <cell r="A3" t="str">
            <v>POREZNA UPRAVA</v>
          </cell>
          <cell r="O3" t="str">
            <v>PDV identifikacijski broj          (3)</v>
          </cell>
        </row>
        <row r="4">
          <cell r="A4" t="str">
            <v>PODRUČNI URED</v>
          </cell>
        </row>
        <row r="6">
          <cell r="O6" t="str">
            <v>Porezni obveznik                      (naziv/ime i prezime)          (4)</v>
          </cell>
        </row>
        <row r="9">
          <cell r="O9" t="str">
            <v>Adresa                      (mjesto, ulica i broj)              (5)</v>
          </cell>
        </row>
        <row r="12">
          <cell r="O12" t="str">
            <v>PDV identifikacijski broj          poreznog zastupnika               (6)</v>
          </cell>
        </row>
        <row r="17">
          <cell r="A17" t="str">
            <v>ZBIRNA PRIJAVA</v>
          </cell>
        </row>
        <row r="18">
          <cell r="A18" t="str">
            <v>Zbirna prijava za isporuke dobara i usluga u druge države članice Europske unije</v>
          </cell>
        </row>
        <row r="22">
          <cell r="A22" t="str">
            <v>Red.            br.</v>
          </cell>
          <cell r="C22" t="str">
            <v>Kôd države</v>
          </cell>
          <cell r="E22" t="str">
            <v>PDV identifikacijski                     broj primatelja                                           (bez kôda države)</v>
          </cell>
          <cell r="I22" t="str">
            <v>Vrijednost isporuke dobara                    (u kunama i lipama)</v>
          </cell>
          <cell r="M22" t="str">
            <v>Vrijednost isporuke dobara u postupcima 42 i 63                                      (u kunama i lipama)</v>
          </cell>
          <cell r="Q22" t="str">
            <v>Vrijednost isporuke dobara u okviru trostranog posla                   (u kunama i lipama)</v>
          </cell>
          <cell r="V22" t="str">
            <v>Vrijednost obavljenih usluga                                            (u kunama i lipama)</v>
          </cell>
        </row>
        <row r="41">
          <cell r="A41" t="str">
            <v>Ukupna vrijednost</v>
          </cell>
        </row>
        <row r="46">
          <cell r="A46" t="str">
            <v>Potvrđujem istinitost navedenih podataka</v>
          </cell>
          <cell r="O46" t="str">
            <v>Potpis                                                       (20)</v>
          </cell>
        </row>
        <row r="47">
          <cell r="A47" t="str">
            <v>Obračun sastavio                   (ime i prezime)                     (19)</v>
          </cell>
          <cell r="O47" t="str">
            <v>Broj telefona/fax/e-mail       (21)</v>
          </cell>
        </row>
      </sheetData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ivan.podgorski-bocek@leitnerleitner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ivan.podgorski-bocek@leitnerleitn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0"/>
  <sheetViews>
    <sheetView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35" sqref="B235:B237"/>
    </sheetView>
  </sheetViews>
  <sheetFormatPr baseColWidth="10" defaultColWidth="9" defaultRowHeight="12.75" x14ac:dyDescent="0.2"/>
  <cols>
    <col min="1" max="1" width="20.875" customWidth="1"/>
    <col min="2" max="2" width="93" customWidth="1"/>
    <col min="3" max="3" width="118" customWidth="1"/>
    <col min="4" max="4" width="82.375" customWidth="1"/>
  </cols>
  <sheetData>
    <row r="1" spans="1:4" x14ac:dyDescent="0.2">
      <c r="A1" s="44" t="s">
        <v>130</v>
      </c>
      <c r="B1" s="44" t="s">
        <v>128</v>
      </c>
      <c r="C1" s="44" t="s">
        <v>127</v>
      </c>
      <c r="D1" s="44" t="s">
        <v>129</v>
      </c>
    </row>
    <row r="2" spans="1:4" x14ac:dyDescent="0.2">
      <c r="A2" t="s">
        <v>139</v>
      </c>
      <c r="B2" s="29" t="s">
        <v>354</v>
      </c>
      <c r="C2" t="s">
        <v>355</v>
      </c>
      <c r="D2" s="29" t="s">
        <v>356</v>
      </c>
    </row>
    <row r="3" spans="1:4" x14ac:dyDescent="0.2">
      <c r="A3" t="s">
        <v>148</v>
      </c>
      <c r="B3" t="s">
        <v>140</v>
      </c>
      <c r="C3" t="s">
        <v>407</v>
      </c>
      <c r="D3" t="s">
        <v>351</v>
      </c>
    </row>
    <row r="4" spans="1:4" x14ac:dyDescent="0.2">
      <c r="A4" t="s">
        <v>347</v>
      </c>
      <c r="B4" t="s">
        <v>134</v>
      </c>
      <c r="C4" t="s">
        <v>408</v>
      </c>
      <c r="D4" t="s">
        <v>76</v>
      </c>
    </row>
    <row r="5" spans="1:4" x14ac:dyDescent="0.2">
      <c r="A5" t="s">
        <v>348</v>
      </c>
      <c r="B5" t="s">
        <v>135</v>
      </c>
      <c r="C5" t="s">
        <v>135</v>
      </c>
      <c r="D5" t="s">
        <v>135</v>
      </c>
    </row>
    <row r="6" spans="1:4" x14ac:dyDescent="0.2">
      <c r="A6" t="s">
        <v>349</v>
      </c>
      <c r="B6" t="s">
        <v>136</v>
      </c>
      <c r="C6" t="s">
        <v>412</v>
      </c>
      <c r="D6" t="s">
        <v>352</v>
      </c>
    </row>
    <row r="7" spans="1:4" x14ac:dyDescent="0.2">
      <c r="A7" t="s">
        <v>350</v>
      </c>
      <c r="B7" t="s">
        <v>137</v>
      </c>
      <c r="C7" t="s">
        <v>413</v>
      </c>
      <c r="D7" t="s">
        <v>353</v>
      </c>
    </row>
    <row r="8" spans="1:4" x14ac:dyDescent="0.2">
      <c r="A8" t="s">
        <v>409</v>
      </c>
      <c r="B8" t="s">
        <v>414</v>
      </c>
      <c r="C8" t="s">
        <v>417</v>
      </c>
      <c r="D8" t="s">
        <v>420</v>
      </c>
    </row>
    <row r="9" spans="1:4" x14ac:dyDescent="0.2">
      <c r="A9" t="s">
        <v>410</v>
      </c>
      <c r="B9" t="s">
        <v>415</v>
      </c>
      <c r="C9" t="s">
        <v>418</v>
      </c>
      <c r="D9" t="s">
        <v>421</v>
      </c>
    </row>
    <row r="10" spans="1:4" x14ac:dyDescent="0.2">
      <c r="A10" t="s">
        <v>411</v>
      </c>
      <c r="B10" t="s">
        <v>416</v>
      </c>
      <c r="C10" t="s">
        <v>419</v>
      </c>
      <c r="D10" t="s">
        <v>422</v>
      </c>
    </row>
    <row r="12" spans="1:4" ht="13.5" customHeight="1" x14ac:dyDescent="0.2">
      <c r="A12" t="s">
        <v>131</v>
      </c>
      <c r="B12" t="str">
        <f>'[1]Knjiga_I-RA'!$B$3</f>
        <v>POREZNI OBVEZNIK: NAZIV/ IME I PREZIME</v>
      </c>
      <c r="C12" t="s">
        <v>482</v>
      </c>
      <c r="D12" t="s">
        <v>7</v>
      </c>
    </row>
    <row r="13" spans="1:4" x14ac:dyDescent="0.2">
      <c r="A13" t="s">
        <v>133</v>
      </c>
      <c r="B13" t="str">
        <f>'[1]Knjiga_I-RA'!$B$6</f>
        <v xml:space="preserve">ADRESA:MJESTO, ULICA I BROJ </v>
      </c>
      <c r="C13" t="s">
        <v>427</v>
      </c>
      <c r="D13" t="s">
        <v>27</v>
      </c>
    </row>
    <row r="14" spans="1:4" x14ac:dyDescent="0.2">
      <c r="A14" t="s">
        <v>149</v>
      </c>
      <c r="B14" t="str">
        <f>$B$53</f>
        <v>BROJČANA OZNAKA (ŠIFRA) DJELATNOSTI PREMA NACIONALNOJ KLASIFIKACIJI</v>
      </c>
      <c r="C14" t="s">
        <v>483</v>
      </c>
      <c r="D14" t="s">
        <v>8</v>
      </c>
    </row>
    <row r="15" spans="1:4" x14ac:dyDescent="0.2">
      <c r="A15" t="s">
        <v>150</v>
      </c>
      <c r="B15" t="str">
        <f>'[1]Knjiga_I-RA'!$B$13</f>
        <v xml:space="preserve">PDV ID.BR./   </v>
      </c>
      <c r="C15" t="s">
        <v>434</v>
      </c>
      <c r="D15" t="s">
        <v>76</v>
      </c>
    </row>
    <row r="16" spans="1:4" x14ac:dyDescent="0.2">
      <c r="A16" t="s">
        <v>151</v>
      </c>
      <c r="B16" t="s">
        <v>346</v>
      </c>
      <c r="C16" t="s">
        <v>484</v>
      </c>
      <c r="D16" t="s">
        <v>9</v>
      </c>
    </row>
    <row r="17" spans="1:4" x14ac:dyDescent="0.2">
      <c r="A17" t="s">
        <v>152</v>
      </c>
      <c r="B17" t="str">
        <f>'[1]Knjiga_I-RA'!$S$17</f>
        <v>IZNOS U KUNAMA I LIPAMA</v>
      </c>
      <c r="C17" t="s">
        <v>428</v>
      </c>
      <c r="D17" t="s">
        <v>29</v>
      </c>
    </row>
    <row r="18" spans="1:4" ht="13.5" customHeight="1" x14ac:dyDescent="0.2">
      <c r="A18" t="s">
        <v>153</v>
      </c>
      <c r="B18" t="str">
        <f>'[1]Knjiga_I-RA'!$A$19</f>
        <v xml:space="preserve"> RED.BR.</v>
      </c>
      <c r="C18" t="s">
        <v>445</v>
      </c>
      <c r="D18" t="s">
        <v>10</v>
      </c>
    </row>
    <row r="19" spans="1:4" x14ac:dyDescent="0.2">
      <c r="A19" t="s">
        <v>154</v>
      </c>
      <c r="B19" t="str">
        <f>'[1]Knjiga_I-RA'!$B$19</f>
        <v xml:space="preserve">RAČUN </v>
      </c>
      <c r="C19" t="s">
        <v>430</v>
      </c>
      <c r="D19" t="s">
        <v>13</v>
      </c>
    </row>
    <row r="20" spans="1:4" x14ac:dyDescent="0.2">
      <c r="A20" t="s">
        <v>155</v>
      </c>
      <c r="B20" t="str">
        <f>'[1]Knjiga_I-RA'!$B$21</f>
        <v xml:space="preserve">BROJ </v>
      </c>
      <c r="C20" t="s">
        <v>429</v>
      </c>
      <c r="D20" t="s">
        <v>11</v>
      </c>
    </row>
    <row r="21" spans="1:4" x14ac:dyDescent="0.2">
      <c r="A21" t="s">
        <v>156</v>
      </c>
      <c r="B21" t="str">
        <f>'[1]Knjiga_I-RA'!$C$21</f>
        <v>DATUM</v>
      </c>
      <c r="C21" t="s">
        <v>431</v>
      </c>
      <c r="D21" t="s">
        <v>12</v>
      </c>
    </row>
    <row r="22" spans="1:4" x14ac:dyDescent="0.2">
      <c r="A22" t="s">
        <v>157</v>
      </c>
      <c r="B22" t="str">
        <f>'[1]Knjiga_I-RA'!$D$19</f>
        <v>KUPAC( PRIMATELJ DOBRA ILI USLUGA)</v>
      </c>
      <c r="C22" t="s">
        <v>432</v>
      </c>
      <c r="D22" t="s">
        <v>14</v>
      </c>
    </row>
    <row r="23" spans="1:4" ht="12.75" customHeight="1" x14ac:dyDescent="0.2">
      <c r="A23" t="s">
        <v>158</v>
      </c>
      <c r="B23" t="str">
        <f>'[1]Knjiga_I-RA'!$D$21</f>
        <v>NAZIV- IME I PREZIME I SJEDIŠTE/ PREBIVALIŠTE UKU UOBIČAJENO BORAVIŠTE</v>
      </c>
      <c r="C23" t="s">
        <v>485</v>
      </c>
      <c r="D23" t="s">
        <v>15</v>
      </c>
    </row>
    <row r="24" spans="1:4" x14ac:dyDescent="0.2">
      <c r="A24" t="s">
        <v>159</v>
      </c>
      <c r="B24" t="str">
        <f>'[1]Knjiga_I-RA'!$F$21</f>
        <v>( PDV ID. BR./ OIB)</v>
      </c>
      <c r="C24" t="s">
        <v>434</v>
      </c>
      <c r="D24" t="s">
        <v>76</v>
      </c>
    </row>
    <row r="25" spans="1:4" x14ac:dyDescent="0.2">
      <c r="A25" t="s">
        <v>160</v>
      </c>
      <c r="B25" s="35" t="str">
        <f>'[1]Knjiga_I-RA'!$G$19</f>
        <v>IZNOS( s PDV-om)</v>
      </c>
      <c r="C25" t="s">
        <v>435</v>
      </c>
      <c r="D25" t="s">
        <v>16</v>
      </c>
    </row>
    <row r="26" spans="1:4" x14ac:dyDescent="0.2">
      <c r="A26" t="s">
        <v>161</v>
      </c>
      <c r="B26" t="str">
        <f>'[1]Knjiga_I-RA'!$H$19</f>
        <v>NE PODLIJEZE OPOREZIVANJU I OSLOBOĐENO PDV-a</v>
      </c>
      <c r="C26" t="s">
        <v>436</v>
      </c>
      <c r="D26" t="s">
        <v>18</v>
      </c>
    </row>
    <row r="27" spans="1:4" x14ac:dyDescent="0.2">
      <c r="A27" t="s">
        <v>162</v>
      </c>
      <c r="B27" t="str">
        <f>'[1]Knjiga_I-RA'!$H$21</f>
        <v>TUZEMNI PRIJENOST POREZNE OBVEZE</v>
      </c>
      <c r="C27" t="s">
        <v>437</v>
      </c>
      <c r="D27" t="s">
        <v>17</v>
      </c>
    </row>
    <row r="28" spans="1:4" x14ac:dyDescent="0.2">
      <c r="A28" t="s">
        <v>163</v>
      </c>
      <c r="B28" t="str">
        <f>'[1]Knjiga_I-RA'!$I$21</f>
        <v xml:space="preserve">ISPORUKE DOBARA U DRUGIM DRŽAVAMA ČLANICAMA </v>
      </c>
      <c r="C28" t="s">
        <v>438</v>
      </c>
      <c r="D28" t="s">
        <v>72</v>
      </c>
    </row>
    <row r="29" spans="1:4" x14ac:dyDescent="0.2">
      <c r="A29" t="s">
        <v>164</v>
      </c>
      <c r="B29" t="str">
        <f>'[1]Knjiga_I-RA'!$J$21</f>
        <v>ISPORUKE DOBARA UNUTAR EU</v>
      </c>
      <c r="C29" t="s">
        <v>439</v>
      </c>
      <c r="D29" t="s">
        <v>20</v>
      </c>
    </row>
    <row r="30" spans="1:4" x14ac:dyDescent="0.2">
      <c r="A30" t="s">
        <v>165</v>
      </c>
      <c r="B30" t="str">
        <f>'[1]Knjiga_I-RA'!$K$21</f>
        <v xml:space="preserve">OBAVLJENE USLUGE  UNUTAR EU </v>
      </c>
      <c r="C30" t="s">
        <v>453</v>
      </c>
      <c r="D30" t="s">
        <v>19</v>
      </c>
    </row>
    <row r="31" spans="1:4" x14ac:dyDescent="0.2">
      <c r="A31" t="s">
        <v>166</v>
      </c>
      <c r="B31" t="str">
        <f>'[1]Knjiga_I-RA'!$L$21</f>
        <v>OBAVLJENE USLUGE OSOBAMA BEZ SJEDIŠTA U RH</v>
      </c>
      <c r="C31" t="s">
        <v>452</v>
      </c>
      <c r="D31" t="s">
        <v>73</v>
      </c>
    </row>
    <row r="32" spans="1:4" x14ac:dyDescent="0.2">
      <c r="A32" t="s">
        <v>167</v>
      </c>
      <c r="B32" t="str">
        <f>'[1]Knjiga_I-RA'!$M$21</f>
        <v>SASTAVLJANJE I POSTAVLJANJE DOBARA U DRUGOJ DRŽAVI ČLANICI</v>
      </c>
      <c r="C32" t="s">
        <v>454</v>
      </c>
      <c r="D32" t="s">
        <v>74</v>
      </c>
    </row>
    <row r="33" spans="1:4" x14ac:dyDescent="0.2">
      <c r="A33" t="s">
        <v>168</v>
      </c>
      <c r="B33" t="str">
        <f>'[1]Knjiga_I-RA'!$N$21</f>
        <v>ISPORUKE NPS U EU</v>
      </c>
      <c r="C33" t="s">
        <v>486</v>
      </c>
      <c r="D33" t="s">
        <v>75</v>
      </c>
    </row>
    <row r="34" spans="1:4" x14ac:dyDescent="0.2">
      <c r="A34" t="s">
        <v>169</v>
      </c>
      <c r="B34" t="str">
        <f>'[1]Knjiga_I-RA'!$O$21</f>
        <v>U TUZEMSTVU</v>
      </c>
      <c r="C34" t="s">
        <v>440</v>
      </c>
      <c r="D34" t="s">
        <v>21</v>
      </c>
    </row>
    <row r="35" spans="1:4" x14ac:dyDescent="0.2">
      <c r="A35" t="s">
        <v>170</v>
      </c>
      <c r="B35" t="str">
        <f>'[1]Knjiga_I-RA'!$P$21</f>
        <v>IZVOZNE ISPORUKE</v>
      </c>
      <c r="C35" t="s">
        <v>441</v>
      </c>
      <c r="D35" t="s">
        <v>22</v>
      </c>
    </row>
    <row r="36" spans="1:4" x14ac:dyDescent="0.2">
      <c r="A36" t="s">
        <v>171</v>
      </c>
      <c r="B36" t="str">
        <f>'[1]Knjiga_I-RA'!$Q$21</f>
        <v>OSTALA OSLOBOĐENJA</v>
      </c>
      <c r="C36" t="s">
        <v>442</v>
      </c>
      <c r="D36" t="s">
        <v>23</v>
      </c>
    </row>
    <row r="37" spans="1:4" x14ac:dyDescent="0.2">
      <c r="A37" t="s">
        <v>172</v>
      </c>
      <c r="B37" t="str">
        <f>'[1]Knjiga_I-RA'!$R$19</f>
        <v xml:space="preserve">OPOREZIVO </v>
      </c>
      <c r="C37" t="s">
        <v>443</v>
      </c>
      <c r="D37" t="s">
        <v>24</v>
      </c>
    </row>
    <row r="38" spans="1:4" ht="12" customHeight="1" x14ac:dyDescent="0.2">
      <c r="A38" t="s">
        <v>173</v>
      </c>
      <c r="B38" s="41">
        <v>0.05</v>
      </c>
      <c r="C38" s="41">
        <v>0.05</v>
      </c>
      <c r="D38" s="41">
        <v>0.05</v>
      </c>
    </row>
    <row r="39" spans="1:4" ht="12" customHeight="1" x14ac:dyDescent="0.2">
      <c r="A39" t="s">
        <v>174</v>
      </c>
      <c r="B39" t="str">
        <f>'[1]Knjiga_I-RA'!$R$23</f>
        <v>OSNOVICA</v>
      </c>
      <c r="C39" t="s">
        <v>451</v>
      </c>
      <c r="D39" t="s">
        <v>25</v>
      </c>
    </row>
    <row r="40" spans="1:4" ht="12" customHeight="1" x14ac:dyDescent="0.2">
      <c r="A40" t="s">
        <v>175</v>
      </c>
      <c r="B40" t="str">
        <f>'[1]Knjiga_I-RA'!$S$23</f>
        <v>POREZ</v>
      </c>
      <c r="C40" t="s">
        <v>444</v>
      </c>
      <c r="D40" t="s">
        <v>26</v>
      </c>
    </row>
    <row r="41" spans="1:4" ht="12" customHeight="1" x14ac:dyDescent="0.2">
      <c r="A41" t="s">
        <v>176</v>
      </c>
      <c r="B41" s="41">
        <v>0.13</v>
      </c>
      <c r="C41" s="41">
        <v>0.13</v>
      </c>
      <c r="D41" s="41">
        <v>0.13</v>
      </c>
    </row>
    <row r="42" spans="1:4" ht="12" customHeight="1" x14ac:dyDescent="0.2">
      <c r="A42" t="s">
        <v>177</v>
      </c>
      <c r="B42" t="str">
        <f>B39</f>
        <v>OSNOVICA</v>
      </c>
      <c r="C42" t="s">
        <v>451</v>
      </c>
      <c r="D42" t="s">
        <v>25</v>
      </c>
    </row>
    <row r="43" spans="1:4" ht="12" customHeight="1" x14ac:dyDescent="0.2">
      <c r="A43" t="s">
        <v>178</v>
      </c>
      <c r="B43" t="str">
        <f>B40</f>
        <v>POREZ</v>
      </c>
      <c r="C43" t="s">
        <v>444</v>
      </c>
      <c r="D43" t="s">
        <v>26</v>
      </c>
    </row>
    <row r="44" spans="1:4" ht="12" customHeight="1" x14ac:dyDescent="0.2">
      <c r="A44" t="s">
        <v>179</v>
      </c>
      <c r="B44" s="41">
        <v>0.25</v>
      </c>
      <c r="C44" s="41">
        <v>0.25</v>
      </c>
      <c r="D44" s="41">
        <v>0.25</v>
      </c>
    </row>
    <row r="45" spans="1:4" ht="12" customHeight="1" x14ac:dyDescent="0.2">
      <c r="A45" t="s">
        <v>180</v>
      </c>
      <c r="B45" t="str">
        <f>B42</f>
        <v>OSNOVICA</v>
      </c>
      <c r="C45" t="s">
        <v>451</v>
      </c>
      <c r="D45" t="s">
        <v>25</v>
      </c>
    </row>
    <row r="46" spans="1:4" ht="12" customHeight="1" x14ac:dyDescent="0.2">
      <c r="A46" t="s">
        <v>181</v>
      </c>
      <c r="B46" t="str">
        <f>B43</f>
        <v>POREZ</v>
      </c>
      <c r="C46" t="s">
        <v>444</v>
      </c>
      <c r="D46" t="s">
        <v>26</v>
      </c>
    </row>
    <row r="47" spans="1:4" ht="12" customHeight="1" x14ac:dyDescent="0.2"/>
    <row r="48" spans="1:4" ht="12" customHeight="1" x14ac:dyDescent="0.2"/>
    <row r="49" spans="1:4" ht="12" customHeight="1" x14ac:dyDescent="0.2"/>
    <row r="50" spans="1:4" ht="12" customHeight="1" x14ac:dyDescent="0.2"/>
    <row r="51" spans="1:4" ht="10.5" customHeight="1" x14ac:dyDescent="0.2">
      <c r="A51" t="s">
        <v>132</v>
      </c>
      <c r="B51" t="str">
        <f>'[2]Knjiga_U-RA'!$B$3</f>
        <v>POREZNI OBVEZNIK: NAZIV/ IME I PREZIME</v>
      </c>
      <c r="C51" t="s">
        <v>426</v>
      </c>
      <c r="D51" t="s">
        <v>7</v>
      </c>
    </row>
    <row r="52" spans="1:4" x14ac:dyDescent="0.2">
      <c r="A52" t="s">
        <v>182</v>
      </c>
      <c r="B52" t="str">
        <f>'[2]Knjiga_U-RA'!$B$6</f>
        <v xml:space="preserve">ADRESA:MJESTO, ULICA I BROJ </v>
      </c>
      <c r="C52" t="s">
        <v>427</v>
      </c>
      <c r="D52" t="s">
        <v>27</v>
      </c>
    </row>
    <row r="53" spans="1:4" x14ac:dyDescent="0.2">
      <c r="A53" t="s">
        <v>183</v>
      </c>
      <c r="B53" t="s">
        <v>344</v>
      </c>
      <c r="C53" t="s">
        <v>450</v>
      </c>
      <c r="D53" t="s">
        <v>8</v>
      </c>
    </row>
    <row r="54" spans="1:4" x14ac:dyDescent="0.2">
      <c r="A54" t="s">
        <v>184</v>
      </c>
      <c r="B54" t="str">
        <f>'[2]Knjiga_U-RA'!$B$13</f>
        <v xml:space="preserve">PDV ID.BR./   </v>
      </c>
      <c r="C54" t="s">
        <v>434</v>
      </c>
      <c r="D54" t="s">
        <v>76</v>
      </c>
    </row>
    <row r="55" spans="1:4" x14ac:dyDescent="0.2">
      <c r="A55" t="s">
        <v>185</v>
      </c>
      <c r="B55" t="s">
        <v>345</v>
      </c>
      <c r="C55" t="s">
        <v>487</v>
      </c>
      <c r="D55" t="s">
        <v>28</v>
      </c>
    </row>
    <row r="56" spans="1:4" x14ac:dyDescent="0.2">
      <c r="A56" t="s">
        <v>186</v>
      </c>
      <c r="B56" t="str">
        <f>'[2]Knjiga_U-RA'!$N$16</f>
        <v>IZNOS U KUNAMA I LIPAMA</v>
      </c>
      <c r="C56" t="s">
        <v>428</v>
      </c>
      <c r="D56" t="s">
        <v>29</v>
      </c>
    </row>
    <row r="57" spans="1:4" x14ac:dyDescent="0.2">
      <c r="A57" t="s">
        <v>187</v>
      </c>
      <c r="B57" t="str">
        <f>'[2]Knjiga_U-RA'!$A$19</f>
        <v xml:space="preserve"> RED.BR.</v>
      </c>
      <c r="C57" t="s">
        <v>445</v>
      </c>
      <c r="D57" t="s">
        <v>10</v>
      </c>
    </row>
    <row r="58" spans="1:4" x14ac:dyDescent="0.2">
      <c r="A58" t="s">
        <v>188</v>
      </c>
      <c r="B58" t="str">
        <f>'[2]Knjiga_U-RA'!$B$19</f>
        <v xml:space="preserve">RAČUN </v>
      </c>
      <c r="C58" t="s">
        <v>430</v>
      </c>
      <c r="D58" t="s">
        <v>13</v>
      </c>
    </row>
    <row r="59" spans="1:4" x14ac:dyDescent="0.2">
      <c r="A59" t="s">
        <v>189</v>
      </c>
      <c r="B59" t="str">
        <f>'[2]Knjiga_U-RA'!$B$21</f>
        <v xml:space="preserve">BROJ </v>
      </c>
      <c r="C59" t="s">
        <v>429</v>
      </c>
      <c r="D59" t="s">
        <v>11</v>
      </c>
    </row>
    <row r="60" spans="1:4" x14ac:dyDescent="0.2">
      <c r="A60" t="s">
        <v>190</v>
      </c>
      <c r="B60" t="str">
        <f>'[2]Knjiga_U-RA'!$C$21</f>
        <v>DATUM</v>
      </c>
      <c r="C60" t="s">
        <v>431</v>
      </c>
      <c r="D60" t="s">
        <v>12</v>
      </c>
    </row>
    <row r="61" spans="1:4" x14ac:dyDescent="0.2">
      <c r="A61" t="s">
        <v>191</v>
      </c>
      <c r="B61" t="str">
        <f>'[2]Knjiga_U-RA'!$D$19</f>
        <v>DOBAVLJAČ ( ISPORUČITELJ DOBARA ILI USLUGA)</v>
      </c>
      <c r="C61" t="s">
        <v>488</v>
      </c>
      <c r="D61" t="s">
        <v>30</v>
      </c>
    </row>
    <row r="62" spans="1:4" x14ac:dyDescent="0.2">
      <c r="A62" t="s">
        <v>192</v>
      </c>
      <c r="B62" t="str">
        <f>'[2]Knjiga_U-RA'!$D$21</f>
        <v>NAZIV- IME I PREZIME I SJEDIŠTE/ PREBIVALIŠTE ILI UOBIČAJENO BORAVIŠTE</v>
      </c>
      <c r="C62" t="s">
        <v>433</v>
      </c>
      <c r="D62" t="s">
        <v>15</v>
      </c>
    </row>
    <row r="63" spans="1:4" x14ac:dyDescent="0.2">
      <c r="A63" t="s">
        <v>193</v>
      </c>
      <c r="B63" t="str">
        <f>'[2]Knjiga_U-RA'!$F$21</f>
        <v>( PDV ID. BR)</v>
      </c>
      <c r="C63" t="s">
        <v>434</v>
      </c>
      <c r="D63" t="s">
        <v>76</v>
      </c>
    </row>
    <row r="64" spans="1:4" x14ac:dyDescent="0.2">
      <c r="A64" t="s">
        <v>194</v>
      </c>
      <c r="B64" t="str">
        <f>'[2]Knjiga_U-RA'!$G$21</f>
        <v xml:space="preserve">POREZNA OSNOVICA </v>
      </c>
      <c r="C64" t="s">
        <v>451</v>
      </c>
      <c r="D64" t="s">
        <v>25</v>
      </c>
    </row>
    <row r="65" spans="1:4" x14ac:dyDescent="0.2">
      <c r="A65" t="s">
        <v>195</v>
      </c>
      <c r="B65" s="41">
        <v>0.05</v>
      </c>
      <c r="C65" s="41">
        <v>0.05</v>
      </c>
      <c r="D65" s="41">
        <v>0.05</v>
      </c>
    </row>
    <row r="66" spans="1:4" x14ac:dyDescent="0.2">
      <c r="A66" t="s">
        <v>196</v>
      </c>
      <c r="B66" s="41">
        <v>0.1</v>
      </c>
      <c r="C66" s="41">
        <v>0.1</v>
      </c>
      <c r="D66" s="41">
        <v>0.1</v>
      </c>
    </row>
    <row r="67" spans="1:4" x14ac:dyDescent="0.2">
      <c r="A67" t="s">
        <v>197</v>
      </c>
      <c r="B67" s="41">
        <v>0.25</v>
      </c>
      <c r="C67" s="41">
        <v>0.25</v>
      </c>
      <c r="D67" s="41">
        <v>0.25</v>
      </c>
    </row>
    <row r="68" spans="1:4" x14ac:dyDescent="0.2">
      <c r="A68" t="s">
        <v>198</v>
      </c>
      <c r="B68" t="str">
        <f>'[2]Knjiga_U-RA'!$J$21</f>
        <v>UKUPNI IZNOS RAČUNA S PDV-om</v>
      </c>
      <c r="C68" t="s">
        <v>491</v>
      </c>
      <c r="D68" t="s">
        <v>31</v>
      </c>
    </row>
    <row r="69" spans="1:4" x14ac:dyDescent="0.2">
      <c r="A69" t="s">
        <v>199</v>
      </c>
      <c r="B69" t="str">
        <f>'[2]Knjiga_U-RA'!$K$21</f>
        <v>OSLOBOĐENO POREZA / NEOPOREZIVO</v>
      </c>
      <c r="C69" t="s">
        <v>447</v>
      </c>
      <c r="D69" t="s">
        <v>18</v>
      </c>
    </row>
    <row r="70" spans="1:4" x14ac:dyDescent="0.2">
      <c r="A70" t="s">
        <v>200</v>
      </c>
      <c r="B70" t="str">
        <f>'[2]Knjiga_U-RA'!$M$19</f>
        <v xml:space="preserve">POREZ </v>
      </c>
      <c r="C70" t="s">
        <v>444</v>
      </c>
      <c r="D70" t="s">
        <v>26</v>
      </c>
    </row>
    <row r="71" spans="1:4" x14ac:dyDescent="0.2">
      <c r="A71" t="s">
        <v>201</v>
      </c>
      <c r="B71" s="41">
        <v>0.05</v>
      </c>
      <c r="C71" s="41">
        <v>0.05</v>
      </c>
      <c r="D71" s="41">
        <v>0.05</v>
      </c>
    </row>
    <row r="72" spans="1:4" x14ac:dyDescent="0.2">
      <c r="A72" t="s">
        <v>202</v>
      </c>
      <c r="B72" t="str">
        <f>'[2]Knjiga_U-RA'!$M$23</f>
        <v xml:space="preserve">MOŽE SE ODBITI  </v>
      </c>
      <c r="C72" t="s">
        <v>448</v>
      </c>
      <c r="D72" t="s">
        <v>32</v>
      </c>
    </row>
    <row r="73" spans="1:4" x14ac:dyDescent="0.2">
      <c r="A73" t="s">
        <v>203</v>
      </c>
      <c r="B73" t="str">
        <f>'[2]Knjiga_U-RA'!$N$23</f>
        <v xml:space="preserve">NE MOŽE SE ODBIT </v>
      </c>
      <c r="C73" t="s">
        <v>449</v>
      </c>
      <c r="D73" t="s">
        <v>33</v>
      </c>
    </row>
    <row r="74" spans="1:4" x14ac:dyDescent="0.2">
      <c r="A74" t="s">
        <v>204</v>
      </c>
      <c r="B74" s="41">
        <v>0.13</v>
      </c>
      <c r="C74" s="41">
        <v>0.13</v>
      </c>
      <c r="D74" s="41">
        <v>0.13</v>
      </c>
    </row>
    <row r="75" spans="1:4" x14ac:dyDescent="0.2">
      <c r="A75" t="s">
        <v>205</v>
      </c>
      <c r="B75" t="str">
        <f>B72</f>
        <v xml:space="preserve">MOŽE SE ODBITI  </v>
      </c>
      <c r="C75" t="s">
        <v>448</v>
      </c>
      <c r="D75" t="s">
        <v>32</v>
      </c>
    </row>
    <row r="76" spans="1:4" x14ac:dyDescent="0.2">
      <c r="A76" t="s">
        <v>206</v>
      </c>
      <c r="B76" t="str">
        <f>B73</f>
        <v xml:space="preserve">NE MOŽE SE ODBIT </v>
      </c>
      <c r="C76" t="s">
        <v>449</v>
      </c>
      <c r="D76" t="s">
        <v>33</v>
      </c>
    </row>
    <row r="77" spans="1:4" x14ac:dyDescent="0.2">
      <c r="A77" t="s">
        <v>207</v>
      </c>
      <c r="B77" s="41">
        <v>0.25</v>
      </c>
      <c r="C77" s="41">
        <v>0.25</v>
      </c>
      <c r="D77" s="41">
        <v>0.25</v>
      </c>
    </row>
    <row r="78" spans="1:4" x14ac:dyDescent="0.2">
      <c r="A78" t="s">
        <v>208</v>
      </c>
      <c r="B78" t="str">
        <f>B75</f>
        <v xml:space="preserve">MOŽE SE ODBITI  </v>
      </c>
      <c r="C78" t="s">
        <v>448</v>
      </c>
      <c r="D78" t="s">
        <v>32</v>
      </c>
    </row>
    <row r="79" spans="1:4" x14ac:dyDescent="0.2">
      <c r="A79" t="s">
        <v>209</v>
      </c>
      <c r="B79" t="str">
        <f>B76</f>
        <v xml:space="preserve">NE MOŽE SE ODBIT </v>
      </c>
      <c r="C79" t="s">
        <v>449</v>
      </c>
      <c r="D79" t="s">
        <v>33</v>
      </c>
    </row>
    <row r="80" spans="1:4" x14ac:dyDescent="0.2">
      <c r="A80" t="s">
        <v>423</v>
      </c>
      <c r="B80" t="s">
        <v>424</v>
      </c>
      <c r="C80" t="s">
        <v>446</v>
      </c>
      <c r="D80" t="s">
        <v>425</v>
      </c>
    </row>
    <row r="82" spans="1:4" x14ac:dyDescent="0.2">
      <c r="A82" t="s">
        <v>147</v>
      </c>
      <c r="B82" t="s">
        <v>319</v>
      </c>
      <c r="C82" t="s">
        <v>358</v>
      </c>
      <c r="D82" t="s">
        <v>55</v>
      </c>
    </row>
    <row r="83" spans="1:4" ht="25.5" x14ac:dyDescent="0.2">
      <c r="A83" t="s">
        <v>214</v>
      </c>
      <c r="B83" s="29" t="s">
        <v>320</v>
      </c>
      <c r="C83" t="s">
        <v>489</v>
      </c>
      <c r="D83" s="29" t="s">
        <v>56</v>
      </c>
    </row>
    <row r="84" spans="1:4" ht="25.5" x14ac:dyDescent="0.2">
      <c r="A84" t="s">
        <v>215</v>
      </c>
      <c r="B84" s="29" t="s">
        <v>321</v>
      </c>
      <c r="C84" s="29" t="s">
        <v>490</v>
      </c>
      <c r="D84" s="29" t="s">
        <v>57</v>
      </c>
    </row>
    <row r="85" spans="1:4" x14ac:dyDescent="0.2">
      <c r="A85" t="s">
        <v>216</v>
      </c>
      <c r="B85" t="s">
        <v>322</v>
      </c>
      <c r="C85" t="s">
        <v>141</v>
      </c>
      <c r="D85" t="s">
        <v>357</v>
      </c>
    </row>
    <row r="86" spans="1:4" ht="25.5" x14ac:dyDescent="0.2">
      <c r="A86" t="s">
        <v>217</v>
      </c>
      <c r="B86" t="s">
        <v>323</v>
      </c>
      <c r="C86" s="29" t="s">
        <v>142</v>
      </c>
      <c r="D86" t="s">
        <v>84</v>
      </c>
    </row>
    <row r="87" spans="1:4" x14ac:dyDescent="0.2">
      <c r="A87" t="s">
        <v>218</v>
      </c>
      <c r="B87" t="s">
        <v>324</v>
      </c>
      <c r="C87" t="s">
        <v>143</v>
      </c>
      <c r="D87" t="s">
        <v>99</v>
      </c>
    </row>
    <row r="88" spans="1:4" ht="12.75" customHeight="1" x14ac:dyDescent="0.2">
      <c r="A88" t="s">
        <v>219</v>
      </c>
      <c r="B88" t="str">
        <f>CONCATENATE("PRIJAVA PDV-a ZA RAZDOBLJE OD",NASLOV!B13," DO ",NASLOV!C13,NASLOV!D13," GODINE")</f>
        <v>PRIJAVA PDV-a ZA RAZDOBLJE OD01.07. DO 31.07.2020 GODINE</v>
      </c>
      <c r="C88" s="42" t="str">
        <f>CONCATENATE("UMSATZSTEUERVORANMELDUNG FÜR DEN ZEITRAUM VON ",NASLOV!B13," BIS ",NASLOV!C13,NASLOV!D13)</f>
        <v>UMSATZSTEUERVORANMELDUNG FÜR DEN ZEITRAUM VON 01.07. BIS 31.07.2020</v>
      </c>
      <c r="D88" s="29" t="str">
        <f>CONCATENATE("VAT RETURN FOR THE PERIOD FROM ",NASLOV!B13," UNTIL ",NASLOV!C13,NASLOV!D13)</f>
        <v>VAT RETURN FOR THE PERIOD FROM 01.07. UNTIL 31.07.2020</v>
      </c>
    </row>
    <row r="89" spans="1:4" ht="12.75" customHeight="1" x14ac:dyDescent="0.2">
      <c r="A89" t="s">
        <v>220</v>
      </c>
      <c r="B89" s="29" t="s">
        <v>325</v>
      </c>
      <c r="C89" s="29" t="s">
        <v>144</v>
      </c>
      <c r="D89" s="29" t="s">
        <v>58</v>
      </c>
    </row>
    <row r="90" spans="1:4" ht="12.75" customHeight="1" x14ac:dyDescent="0.2">
      <c r="A90" t="s">
        <v>221</v>
      </c>
      <c r="B90" t="s">
        <v>326</v>
      </c>
      <c r="C90" t="s">
        <v>145</v>
      </c>
      <c r="D90" t="s">
        <v>59</v>
      </c>
    </row>
    <row r="91" spans="1:4" ht="12.75" customHeight="1" x14ac:dyDescent="0.2">
      <c r="A91" t="s">
        <v>222</v>
      </c>
      <c r="B91" t="str">
        <f>[3]PDV!$G$8</f>
        <v>PDV PO STOPI 5%, 13% i 25% 
(iznos u kunama i lipama)</v>
      </c>
      <c r="C91" t="s">
        <v>146</v>
      </c>
      <c r="D91" t="s">
        <v>98</v>
      </c>
    </row>
    <row r="92" spans="1:4" ht="12.75" customHeight="1" x14ac:dyDescent="0.2">
      <c r="A92" t="s">
        <v>223</v>
      </c>
      <c r="B92" t="str">
        <f>[3]PDV!$A$9</f>
        <v xml:space="preserve"> OBRAČUN PDV-a U OBALJENIM TRANSAKCIJAMA
 DOBARA I USLUGA - UKUPNO (I. + II.)</v>
      </c>
      <c r="C92" t="s">
        <v>359</v>
      </c>
      <c r="D92" t="s">
        <v>63</v>
      </c>
    </row>
    <row r="93" spans="1:4" ht="13.5" customHeight="1" x14ac:dyDescent="0.2">
      <c r="A93" t="s">
        <v>224</v>
      </c>
      <c r="B93" t="str">
        <f>[3]PDV!$A$10</f>
        <v xml:space="preserve"> I. TRANSAKCIJE KOJE NE PODLIJEŽU OPOREZIVANJU I        OSLOBOĐENE - UKUPNO (1.+2.+3.+4.+5.+6.+7.+8.+9.+10.)</v>
      </c>
      <c r="C93" t="s">
        <v>360</v>
      </c>
      <c r="D93" t="s">
        <v>60</v>
      </c>
    </row>
    <row r="94" spans="1:4" ht="12.75" customHeight="1" x14ac:dyDescent="0.2">
      <c r="A94" t="s">
        <v>225</v>
      </c>
      <c r="B94" t="str">
        <f>[3]PDV!$A$11</f>
        <v>1. ISPORUKE U RH ZA KOJE PDV OBRAČUNAVA PRIMATELJ (tuzemni prijenos porezne obveze)</v>
      </c>
      <c r="C94" t="s">
        <v>361</v>
      </c>
      <c r="D94" t="s">
        <v>103</v>
      </c>
    </row>
    <row r="95" spans="1:4" ht="12.75" customHeight="1" x14ac:dyDescent="0.2">
      <c r="A95" t="s">
        <v>226</v>
      </c>
      <c r="B95" t="str">
        <f>[3]PDV!$A$12</f>
        <v>2.ISPORUKE DOBARA OBAVLJENE U DRUGIM DRŽAVAMA 
ČLANICAMA</v>
      </c>
      <c r="C95" t="s">
        <v>362</v>
      </c>
      <c r="D95" t="s">
        <v>61</v>
      </c>
    </row>
    <row r="96" spans="1:4" x14ac:dyDescent="0.2">
      <c r="A96" t="s">
        <v>227</v>
      </c>
      <c r="B96" t="str">
        <f>[3]PDV!$A$13</f>
        <v>3. ISPORUKE DOBARA UNUTAR EU</v>
      </c>
      <c r="C96" t="s">
        <v>363</v>
      </c>
      <c r="D96" t="s">
        <v>85</v>
      </c>
    </row>
    <row r="97" spans="1:4" x14ac:dyDescent="0.2">
      <c r="A97" t="s">
        <v>228</v>
      </c>
      <c r="B97" t="str">
        <f>[3]PDV!$A$14</f>
        <v>4. OBAVLJENE USLUGE UNUTAR EU</v>
      </c>
      <c r="C97" t="s">
        <v>364</v>
      </c>
      <c r="D97" t="s">
        <v>86</v>
      </c>
    </row>
    <row r="98" spans="1:4" x14ac:dyDescent="0.2">
      <c r="A98" t="s">
        <v>229</v>
      </c>
      <c r="B98" t="str">
        <f>[3]PDV!$A$15</f>
        <v>5. OBAVLJENE USLUGE OSOBAMA BEZ SJEDIŠTA U RH</v>
      </c>
      <c r="C98" t="s">
        <v>365</v>
      </c>
      <c r="D98" t="s">
        <v>87</v>
      </c>
    </row>
    <row r="99" spans="1:4" ht="12.75" customHeight="1" x14ac:dyDescent="0.2">
      <c r="A99" t="s">
        <v>230</v>
      </c>
      <c r="B99" t="str">
        <f>[3]PDV!$A$16</f>
        <v>6. SASTAVLJANJE I POSTAVLJANJE DOBARA U DRUGOJ
DRŽAVI ČLANICI EU</v>
      </c>
      <c r="C99" t="s">
        <v>366</v>
      </c>
      <c r="D99" t="s">
        <v>62</v>
      </c>
    </row>
    <row r="100" spans="1:4" x14ac:dyDescent="0.2">
      <c r="A100" t="s">
        <v>231</v>
      </c>
      <c r="B100" t="str">
        <f>[3]PDV!$A$17</f>
        <v>7. ISPORUKE NOVIH PRIJEVOZNIH SREDSTAVA U EU</v>
      </c>
      <c r="C100" t="s">
        <v>367</v>
      </c>
      <c r="D100" t="s">
        <v>88</v>
      </c>
    </row>
    <row r="101" spans="1:4" x14ac:dyDescent="0.2">
      <c r="A101" t="s">
        <v>232</v>
      </c>
      <c r="B101" t="str">
        <f>[3]PDV!$A$18</f>
        <v>8. TUZEMNE ISPORUKE</v>
      </c>
      <c r="C101" t="s">
        <v>368</v>
      </c>
      <c r="D101" t="s">
        <v>64</v>
      </c>
    </row>
    <row r="102" spans="1:4" x14ac:dyDescent="0.2">
      <c r="A102" t="s">
        <v>233</v>
      </c>
      <c r="B102" t="str">
        <f>[3]PDV!$A$19</f>
        <v>9. IZVOZNE ISPORUKE</v>
      </c>
      <c r="C102" t="s">
        <v>369</v>
      </c>
      <c r="D102" t="s">
        <v>102</v>
      </c>
    </row>
    <row r="103" spans="1:4" x14ac:dyDescent="0.2">
      <c r="A103" t="s">
        <v>234</v>
      </c>
      <c r="B103" t="str">
        <f>[3]PDV!$A$20</f>
        <v>10. OSTALA OSLOBOĐENJA</v>
      </c>
      <c r="C103" t="s">
        <v>370</v>
      </c>
      <c r="D103" t="s">
        <v>67</v>
      </c>
    </row>
    <row r="104" spans="1:4" ht="12.75" customHeight="1" x14ac:dyDescent="0.2">
      <c r="A104" t="s">
        <v>235</v>
      </c>
      <c r="B104" t="str">
        <f>[3]PDV!$A$21</f>
        <v>II. OPOREZIVE TRANSAKCIJE - UKUPNO
(1.+2.+3.+4.+5.+6.+7.+8.+9.+10.+11.+12.+13.+14.+15.)</v>
      </c>
      <c r="C104" t="s">
        <v>371</v>
      </c>
      <c r="D104" t="s">
        <v>65</v>
      </c>
    </row>
    <row r="105" spans="1:4" x14ac:dyDescent="0.2">
      <c r="A105" t="s">
        <v>236</v>
      </c>
      <c r="B105" t="str">
        <f>[3]PDV!$A$22</f>
        <v>1. ISPORUKE DOBARA I USLUGA U RH PO STOPI 5%</v>
      </c>
      <c r="C105" t="s">
        <v>372</v>
      </c>
      <c r="D105" t="s">
        <v>89</v>
      </c>
    </row>
    <row r="106" spans="1:4" x14ac:dyDescent="0.2">
      <c r="A106" t="s">
        <v>237</v>
      </c>
      <c r="B106" t="str">
        <f>[3]PDV!$A$23</f>
        <v>2. ISPORUKE DOBARA I USLUGA U RH PO STOPI 13%</v>
      </c>
      <c r="C106" t="s">
        <v>373</v>
      </c>
      <c r="D106" t="s">
        <v>105</v>
      </c>
    </row>
    <row r="107" spans="1:4" x14ac:dyDescent="0.2">
      <c r="A107" t="s">
        <v>238</v>
      </c>
      <c r="B107" t="str">
        <f>[3]PDV!$A$24</f>
        <v>3. ISPORUKE DOBARA I USLUGA U RH PO STOPI 25%</v>
      </c>
      <c r="C107" t="s">
        <v>374</v>
      </c>
      <c r="D107" t="s">
        <v>210</v>
      </c>
    </row>
    <row r="108" spans="1:4" ht="12.75" customHeight="1" x14ac:dyDescent="0.2">
      <c r="A108" t="s">
        <v>239</v>
      </c>
      <c r="B108" t="str">
        <f>[3]PDV!$A$25</f>
        <v>4. PRIMLJENE ISPORUKE U RH ZA KOJE PDV OBRAČUNAVA 
PRIMATELJ (tuzemni prijenos porezne obveze)</v>
      </c>
      <c r="C108" t="s">
        <v>375</v>
      </c>
      <c r="D108" t="s">
        <v>211</v>
      </c>
    </row>
    <row r="109" spans="1:4" x14ac:dyDescent="0.2">
      <c r="A109" t="s">
        <v>240</v>
      </c>
      <c r="B109" t="str">
        <f>[3]PDV!$A$26</f>
        <v>5. STJECANJE DOBARA UNUTAR EU PO STOPI 5%</v>
      </c>
      <c r="C109" t="s">
        <v>376</v>
      </c>
      <c r="D109" t="s">
        <v>90</v>
      </c>
    </row>
    <row r="110" spans="1:4" x14ac:dyDescent="0.2">
      <c r="A110" t="s">
        <v>241</v>
      </c>
      <c r="B110" t="str">
        <f>[3]PDV!$A$27</f>
        <v>6. STJECANJE DOBARA UNUTAR EU PO STOPI 13%</v>
      </c>
      <c r="C110" t="s">
        <v>377</v>
      </c>
      <c r="D110" t="s">
        <v>106</v>
      </c>
    </row>
    <row r="111" spans="1:4" x14ac:dyDescent="0.2">
      <c r="A111" t="s">
        <v>242</v>
      </c>
      <c r="B111" t="str">
        <f>[3]PDV!$A$28</f>
        <v>7. STJECANJE DOBARA UNUTAR EU PO STOPI 25%</v>
      </c>
      <c r="C111" t="s">
        <v>378</v>
      </c>
      <c r="D111" t="s">
        <v>66</v>
      </c>
    </row>
    <row r="112" spans="1:4" x14ac:dyDescent="0.2">
      <c r="A112" t="s">
        <v>243</v>
      </c>
      <c r="B112" t="str">
        <f>[3]PDV!$A$29</f>
        <v>8. PRIMLJENE USLUGE IZ EU PO STOPI 5%</v>
      </c>
      <c r="C112" t="s">
        <v>379</v>
      </c>
      <c r="D112" t="s">
        <v>91</v>
      </c>
    </row>
    <row r="113" spans="1:4" x14ac:dyDescent="0.2">
      <c r="A113" t="s">
        <v>244</v>
      </c>
      <c r="B113" t="str">
        <f>[3]PDV!$A$30</f>
        <v>9. PRIMLJENE USLUGE IZ EU PO STOPI 13%</v>
      </c>
      <c r="C113" t="s">
        <v>380</v>
      </c>
      <c r="D113" t="s">
        <v>101</v>
      </c>
    </row>
    <row r="114" spans="1:4" x14ac:dyDescent="0.2">
      <c r="A114" t="s">
        <v>245</v>
      </c>
      <c r="B114" t="str">
        <f>[3]PDV!$A$31</f>
        <v>10. PRIMLJENE USLUGE IZ EU PO STOPI 25%</v>
      </c>
      <c r="C114" t="s">
        <v>381</v>
      </c>
      <c r="D114" t="s">
        <v>92</v>
      </c>
    </row>
    <row r="115" spans="1:4" ht="12.75" customHeight="1" x14ac:dyDescent="0.2">
      <c r="A115" t="s">
        <v>246</v>
      </c>
      <c r="B115" t="str">
        <f>[3]PDV!$A$32</f>
        <v>11. PRIMLJENE ISPORUKE DOBARA I USLUGA OD 
POREZNIH OBVEZNIKA BEZ SJEDIŠTA U RH PO STOPI 5%</v>
      </c>
      <c r="C115" t="s">
        <v>382</v>
      </c>
      <c r="D115" t="s">
        <v>125</v>
      </c>
    </row>
    <row r="116" spans="1:4" ht="12.75" customHeight="1" x14ac:dyDescent="0.2">
      <c r="A116" t="s">
        <v>247</v>
      </c>
      <c r="B116" t="str">
        <f>[3]PDV!$A$33</f>
        <v>12. PRIMLJENE ISPORUKE DOBARA I USLUGA OD 
POREZNIH OBVEZNIKA BEZ SJEDIŠTA U RH PO STOPI 13%</v>
      </c>
      <c r="C116" t="s">
        <v>383</v>
      </c>
      <c r="D116" t="s">
        <v>107</v>
      </c>
    </row>
    <row r="117" spans="1:4" ht="12.75" customHeight="1" x14ac:dyDescent="0.2">
      <c r="A117" t="s">
        <v>248</v>
      </c>
      <c r="B117" t="str">
        <f>[3]PDV!$A$34</f>
        <v>13. PRIMLJENE ISPORUKE DOBARA I USLUGA OD 
POREZNIH OBVEZNIKA BEZ SJEDIŠTA U RH PO STOPI 25%</v>
      </c>
      <c r="C117" t="s">
        <v>384</v>
      </c>
      <c r="D117" t="s">
        <v>108</v>
      </c>
    </row>
    <row r="118" spans="1:4" ht="12.75" customHeight="1" x14ac:dyDescent="0.2">
      <c r="A118" t="s">
        <v>249</v>
      </c>
      <c r="B118" t="str">
        <f>[3]PDV!$A$35</f>
        <v>14. NAKNADNO OSLOBOĐENJE IZVOZA U OKVIRU 
OSOBNOG PUTNIČKOG PROMETA</v>
      </c>
      <c r="C118" t="s">
        <v>385</v>
      </c>
      <c r="D118" t="s">
        <v>109</v>
      </c>
    </row>
    <row r="119" spans="1:4" x14ac:dyDescent="0.2">
      <c r="A119" t="s">
        <v>250</v>
      </c>
      <c r="B119" t="str">
        <f>[3]PDV!$A$36</f>
        <v>15. OBRAČUNANI PDV PRI UVOZU</v>
      </c>
      <c r="C119" t="s">
        <v>386</v>
      </c>
      <c r="D119" t="s">
        <v>110</v>
      </c>
    </row>
    <row r="120" spans="1:4" ht="12.75" customHeight="1" x14ac:dyDescent="0.2">
      <c r="A120" t="s">
        <v>251</v>
      </c>
      <c r="B120" t="str">
        <f>[3]PDV!$A$37</f>
        <v>III. OBRAČUNANI PRETPOREZ - UKUPNO 
(1.+2.+.3.+4.+5.+6.+7.+8.+9.+10.+11.+12.+13.+14.+15.)</v>
      </c>
      <c r="C120" t="s">
        <v>387</v>
      </c>
      <c r="D120" t="s">
        <v>93</v>
      </c>
    </row>
    <row r="121" spans="1:4" ht="12.75" customHeight="1" x14ac:dyDescent="0.2">
      <c r="A121" t="s">
        <v>252</v>
      </c>
      <c r="B121" t="str">
        <f>[3]PDV!$A$38</f>
        <v>1. PRETPOREZ OD PRIMLJENIH ISPORUKA U TUZEMSTVO po stopi od 5%</v>
      </c>
      <c r="C121" t="s">
        <v>388</v>
      </c>
      <c r="D121" t="s">
        <v>111</v>
      </c>
    </row>
    <row r="122" spans="1:4" x14ac:dyDescent="0.2">
      <c r="A122" t="s">
        <v>253</v>
      </c>
      <c r="B122" t="str">
        <f>[3]PDV!$A$39</f>
        <v>2. PRETPOREZ OD PRIMLJENIH ISPORUKA U TUZEMSTVO po stopi od 13%</v>
      </c>
      <c r="C122" t="s">
        <v>389</v>
      </c>
      <c r="D122" t="s">
        <v>112</v>
      </c>
    </row>
    <row r="123" spans="1:4" x14ac:dyDescent="0.2">
      <c r="A123" t="s">
        <v>254</v>
      </c>
      <c r="B123" t="str">
        <f>[3]PDV!$A$40</f>
        <v>3. PRETPOREZ OD PRIMLJENIH ISPORUKA U TUZEMSTVO po stopi od 25%</v>
      </c>
      <c r="C123" t="s">
        <v>390</v>
      </c>
      <c r="D123" t="s">
        <v>113</v>
      </c>
    </row>
    <row r="124" spans="1:4" ht="12.75" customHeight="1" x14ac:dyDescent="0.2">
      <c r="A124" t="s">
        <v>255</v>
      </c>
      <c r="B124" t="str">
        <f>[3]PDV!$A$41</f>
        <v>4. PRETPOREZ OD PRIMLJENIH ISPORUKA U RH ZA KOJE
PDV OBRAČUNAVA PRIMATELJ
(tuzemni prijenos porezne obveze)</v>
      </c>
      <c r="C124" t="s">
        <v>391</v>
      </c>
      <c r="D124" t="s">
        <v>212</v>
      </c>
    </row>
    <row r="125" spans="1:4" x14ac:dyDescent="0.2">
      <c r="A125" t="s">
        <v>256</v>
      </c>
      <c r="B125" t="str">
        <f>[3]PDV!$A$42</f>
        <v>5. PRETPOREZ OD STJECANJA DOBARA UNUTAR EU po stopi od 5%</v>
      </c>
      <c r="C125" t="s">
        <v>392</v>
      </c>
      <c r="D125" t="s">
        <v>114</v>
      </c>
    </row>
    <row r="126" spans="1:4" x14ac:dyDescent="0.2">
      <c r="A126" t="s">
        <v>257</v>
      </c>
      <c r="B126" t="str">
        <f>[3]PDV!$A$43</f>
        <v>6. PRETPOREZ OD STJECANJA DOBARA UNUTAR EU po stopi od 13%</v>
      </c>
      <c r="C126" t="s">
        <v>393</v>
      </c>
      <c r="D126" t="s">
        <v>115</v>
      </c>
    </row>
    <row r="127" spans="1:4" x14ac:dyDescent="0.2">
      <c r="A127" t="s">
        <v>258</v>
      </c>
      <c r="B127" t="str">
        <f>[3]PDV!$A$44</f>
        <v>7. PRETPOREZ OD STJECANJA DOBARA UNUTAR EU po stopi od 25%</v>
      </c>
      <c r="C127" t="s">
        <v>394</v>
      </c>
      <c r="D127" t="s">
        <v>116</v>
      </c>
    </row>
    <row r="128" spans="1:4" x14ac:dyDescent="0.2">
      <c r="A128" t="s">
        <v>259</v>
      </c>
      <c r="B128" t="str">
        <f>[3]PDV!$A$45</f>
        <v>8.PRETPOREU OD PRIMLJENIH USLUGA IZ EU po stopi od 5%</v>
      </c>
      <c r="C128" t="s">
        <v>395</v>
      </c>
      <c r="D128" t="s">
        <v>117</v>
      </c>
    </row>
    <row r="129" spans="1:4" x14ac:dyDescent="0.2">
      <c r="A129" t="s">
        <v>260</v>
      </c>
      <c r="B129" t="str">
        <f>[3]PDV!$A$46</f>
        <v>9.PRETPOREZ OD PRIMLJENIH USLUGA IZ EU po stopi od 13%</v>
      </c>
      <c r="C129" t="s">
        <v>396</v>
      </c>
      <c r="D129" t="s">
        <v>118</v>
      </c>
    </row>
    <row r="130" spans="1:4" x14ac:dyDescent="0.2">
      <c r="A130" t="s">
        <v>261</v>
      </c>
      <c r="B130" t="str">
        <f>[3]PDV!$A$47</f>
        <v>10.PRETPOREZ OD PRIMLJENIH USLUGA IZ EU po stopi 25%</v>
      </c>
      <c r="C130" t="s">
        <v>397</v>
      </c>
      <c r="D130" t="s">
        <v>119</v>
      </c>
    </row>
    <row r="131" spans="1:4" ht="12.75" customHeight="1" x14ac:dyDescent="0.2">
      <c r="A131" t="s">
        <v>262</v>
      </c>
      <c r="B131" t="str">
        <f>[3]PDV!$A$48</f>
        <v>11. PRIMLJENE ISPORUKE DOBARA I USLUGA OD 
POREZNIH OBVEZNIKA BEZ SJEDIŠTA U RH PO STOPI 5%</v>
      </c>
      <c r="C131" t="s">
        <v>398</v>
      </c>
      <c r="D131" t="s">
        <v>120</v>
      </c>
    </row>
    <row r="132" spans="1:4" ht="12.75" customHeight="1" x14ac:dyDescent="0.2">
      <c r="A132" t="s">
        <v>263</v>
      </c>
      <c r="B132" t="str">
        <f>[3]PDV!$A$49</f>
        <v>12. PRIMLJENE ISPORUKE DOBARA I USLUGA OD 
POREZNIH OBVEZNIKA BEZ SJEDIŠTA U RH PO STOPI 13%</v>
      </c>
      <c r="C132" t="s">
        <v>399</v>
      </c>
      <c r="D132" t="s">
        <v>121</v>
      </c>
    </row>
    <row r="133" spans="1:4" ht="12.75" customHeight="1" x14ac:dyDescent="0.2">
      <c r="A133" t="s">
        <v>264</v>
      </c>
      <c r="B133" t="str">
        <f>[3]PDV!$A$50</f>
        <v>13. PRIMLJENE ISPORUKE DOBARA I USLUGA OD 
POREZNIH OBVEZNIKA BEZ SJEDIŠTA U RH PO STOPI 25%</v>
      </c>
      <c r="C133" t="s">
        <v>400</v>
      </c>
      <c r="D133" t="s">
        <v>122</v>
      </c>
    </row>
    <row r="134" spans="1:4" x14ac:dyDescent="0.2">
      <c r="A134" t="s">
        <v>265</v>
      </c>
      <c r="B134" t="str">
        <f>[3]PDV!$A$51</f>
        <v>14.PRETPOREZ PRI UVOZU</v>
      </c>
      <c r="C134" t="s">
        <v>401</v>
      </c>
      <c r="D134" t="s">
        <v>123</v>
      </c>
    </row>
    <row r="135" spans="1:4" x14ac:dyDescent="0.2">
      <c r="A135" t="s">
        <v>266</v>
      </c>
      <c r="B135" t="str">
        <f>[3]PDV!$A$52</f>
        <v>15.ISPRAVCI PRETPOREZA</v>
      </c>
      <c r="C135" t="s">
        <v>402</v>
      </c>
      <c r="D135" t="s">
        <v>124</v>
      </c>
    </row>
    <row r="136" spans="1:4" x14ac:dyDescent="0.2">
      <c r="A136" t="s">
        <v>267</v>
      </c>
      <c r="B136" t="str">
        <f>[3]PDV!$A$53</f>
        <v>IV. OBVEZA PDV-a U OBRAČUNSKOM RAZDOBLJU:
ZA UPLATU (II.-III.) ILI ZA POVRAT (III.-II.)</v>
      </c>
      <c r="C136" t="s">
        <v>403</v>
      </c>
      <c r="D136" t="s">
        <v>68</v>
      </c>
    </row>
    <row r="137" spans="1:4" ht="12.75" customHeight="1" x14ac:dyDescent="0.2">
      <c r="A137" t="s">
        <v>268</v>
      </c>
      <c r="B137" t="str">
        <f>[3]PDV!$A$54</f>
        <v>V. PO PRETHODNOM OBRAČUNU: NEUPLAĆENI PDV DO DANA
PODNOŠENJA OVE PRIJAVE - VIŠE UPLAĆENO - POREZNI KREDIT</v>
      </c>
      <c r="C137" t="s">
        <v>404</v>
      </c>
      <c r="D137" t="s">
        <v>213</v>
      </c>
    </row>
    <row r="138" spans="1:4" x14ac:dyDescent="0.2">
      <c r="A138" t="s">
        <v>269</v>
      </c>
      <c r="B138" t="str">
        <f>[3]PDV!$A$55</f>
        <v>VI. UKUPNO RAZLIKA: ZA UPLATU/ZA POVRAT</v>
      </c>
      <c r="C138" t="s">
        <v>405</v>
      </c>
      <c r="D138" t="s">
        <v>94</v>
      </c>
    </row>
    <row r="139" spans="1:4" x14ac:dyDescent="0.2">
      <c r="A139" t="s">
        <v>270</v>
      </c>
      <c r="B139" t="str">
        <f>[3]PDV!$A$57</f>
        <v>VII. IZNOS GODIŠNJEG RAZMJERNOG 
ODBITKA PRETPOREZA (%)</v>
      </c>
      <c r="C139" t="s">
        <v>406</v>
      </c>
      <c r="D139" t="s">
        <v>95</v>
      </c>
    </row>
    <row r="140" spans="1:4" x14ac:dyDescent="0.2">
      <c r="A140" t="s">
        <v>271</v>
      </c>
      <c r="D140" t="s">
        <v>96</v>
      </c>
    </row>
    <row r="141" spans="1:4" x14ac:dyDescent="0.2">
      <c r="A141" t="s">
        <v>272</v>
      </c>
      <c r="D141" t="s">
        <v>69</v>
      </c>
    </row>
    <row r="142" spans="1:4" x14ac:dyDescent="0.2">
      <c r="A142" t="s">
        <v>273</v>
      </c>
      <c r="D142" t="s">
        <v>97</v>
      </c>
    </row>
    <row r="143" spans="1:4" x14ac:dyDescent="0.2">
      <c r="A143" t="s">
        <v>274</v>
      </c>
      <c r="D143" t="s">
        <v>70</v>
      </c>
    </row>
    <row r="144" spans="1:4" x14ac:dyDescent="0.2">
      <c r="A144" t="s">
        <v>275</v>
      </c>
      <c r="D144" t="s">
        <v>104</v>
      </c>
    </row>
    <row r="145" spans="1:4" x14ac:dyDescent="0.2">
      <c r="A145" t="s">
        <v>276</v>
      </c>
      <c r="D145" t="s">
        <v>71</v>
      </c>
    </row>
    <row r="149" spans="1:4" x14ac:dyDescent="0.2">
      <c r="A149" t="s">
        <v>277</v>
      </c>
      <c r="B149" t="str">
        <f>[4]ZP!$V$1</f>
        <v>OBRAZAC ZP</v>
      </c>
      <c r="C149" t="s">
        <v>480</v>
      </c>
      <c r="D149" t="s">
        <v>100</v>
      </c>
    </row>
    <row r="150" spans="1:4" x14ac:dyDescent="0.2">
      <c r="A150" t="s">
        <v>279</v>
      </c>
      <c r="B150" t="str">
        <f>[4]ZP!$A$3</f>
        <v>POREZNA UPRAVA</v>
      </c>
      <c r="C150" t="s">
        <v>492</v>
      </c>
      <c r="D150" t="s">
        <v>34</v>
      </c>
    </row>
    <row r="151" spans="1:4" x14ac:dyDescent="0.2">
      <c r="A151" t="s">
        <v>280</v>
      </c>
      <c r="B151" t="str">
        <f>[4]ZP!$A$4</f>
        <v>PODRUČNI URED</v>
      </c>
      <c r="C151" t="s">
        <v>493</v>
      </c>
      <c r="D151" t="s">
        <v>35</v>
      </c>
    </row>
    <row r="152" spans="1:4" x14ac:dyDescent="0.2">
      <c r="A152" t="s">
        <v>281</v>
      </c>
      <c r="B152" t="str">
        <f>[4]ZP!$O$3</f>
        <v>PDV identifikacijski broj          (3)</v>
      </c>
      <c r="C152" t="s">
        <v>455</v>
      </c>
      <c r="D152" t="s">
        <v>36</v>
      </c>
    </row>
    <row r="153" spans="1:4" x14ac:dyDescent="0.2">
      <c r="A153" t="s">
        <v>282</v>
      </c>
      <c r="B153" t="s">
        <v>1</v>
      </c>
      <c r="C153" t="s">
        <v>1</v>
      </c>
      <c r="D153" t="s">
        <v>1</v>
      </c>
    </row>
    <row r="154" spans="1:4" x14ac:dyDescent="0.2">
      <c r="A154" t="s">
        <v>283</v>
      </c>
      <c r="B154" t="str">
        <f>[4]ZP!$O$6</f>
        <v>Porezni obveznik                      (naziv/ime i prezime)          (4)</v>
      </c>
      <c r="C154" t="s">
        <v>456</v>
      </c>
      <c r="D154" t="s">
        <v>48</v>
      </c>
    </row>
    <row r="155" spans="1:4" x14ac:dyDescent="0.2">
      <c r="A155" t="s">
        <v>284</v>
      </c>
      <c r="B155" t="str">
        <f>[4]ZP!$O$9</f>
        <v>Adresa                      (mjesto, ulica i broj)              (5)</v>
      </c>
      <c r="C155" t="s">
        <v>457</v>
      </c>
      <c r="D155" t="s">
        <v>37</v>
      </c>
    </row>
    <row r="156" spans="1:4" x14ac:dyDescent="0.2">
      <c r="A156" t="s">
        <v>285</v>
      </c>
      <c r="B156" t="str">
        <f>[4]ZP!$O$12</f>
        <v>PDV identifikacijski broj          poreznog zastupnika               (6)</v>
      </c>
      <c r="C156" t="s">
        <v>497</v>
      </c>
      <c r="D156" t="s">
        <v>38</v>
      </c>
    </row>
    <row r="157" spans="1:4" x14ac:dyDescent="0.2">
      <c r="A157" t="s">
        <v>286</v>
      </c>
      <c r="B157" t="s">
        <v>1</v>
      </c>
      <c r="C157" t="s">
        <v>1</v>
      </c>
      <c r="D157" t="s">
        <v>1</v>
      </c>
    </row>
    <row r="158" spans="1:4" x14ac:dyDescent="0.2">
      <c r="A158" t="s">
        <v>287</v>
      </c>
      <c r="B158" t="str">
        <f>[4]ZP!$A$17</f>
        <v>ZBIRNA PRIJAVA</v>
      </c>
      <c r="C158" t="s">
        <v>478</v>
      </c>
      <c r="D158" t="s">
        <v>77</v>
      </c>
    </row>
    <row r="159" spans="1:4" x14ac:dyDescent="0.2">
      <c r="A159" t="s">
        <v>288</v>
      </c>
      <c r="B159" t="str">
        <f>[4]ZP!$A$18</f>
        <v>Zbirna prijava za isporuke dobara i usluga u druge države članice Europske unije</v>
      </c>
      <c r="C159" t="s">
        <v>479</v>
      </c>
      <c r="D159" t="s">
        <v>126</v>
      </c>
    </row>
    <row r="160" spans="1:4" x14ac:dyDescent="0.2">
      <c r="A160" t="s">
        <v>289</v>
      </c>
      <c r="B160" t="str">
        <f>[4]ZP!$A$22</f>
        <v>Red.            br.</v>
      </c>
      <c r="C160" t="s">
        <v>458</v>
      </c>
      <c r="D160" t="s">
        <v>39</v>
      </c>
    </row>
    <row r="161" spans="1:4" x14ac:dyDescent="0.2">
      <c r="A161" t="s">
        <v>290</v>
      </c>
      <c r="B161" t="str">
        <f>[4]ZP!$C$22</f>
        <v>Kôd države</v>
      </c>
      <c r="C161" t="s">
        <v>494</v>
      </c>
      <c r="D161" t="s">
        <v>78</v>
      </c>
    </row>
    <row r="162" spans="1:4" x14ac:dyDescent="0.2">
      <c r="A162" t="s">
        <v>291</v>
      </c>
      <c r="B162" t="str">
        <f>[4]ZP!$E$22</f>
        <v>PDV identifikacijski                     broj primatelja                                           (bez kôda države)</v>
      </c>
      <c r="C162" t="s">
        <v>463</v>
      </c>
      <c r="D162" t="s">
        <v>40</v>
      </c>
    </row>
    <row r="163" spans="1:4" x14ac:dyDescent="0.2">
      <c r="A163" t="s">
        <v>292</v>
      </c>
      <c r="B163" t="str">
        <f>[4]ZP!$I$22</f>
        <v>Vrijednost isporuke dobara                    (u kunama i lipama)</v>
      </c>
      <c r="C163" t="s">
        <v>464</v>
      </c>
      <c r="D163" t="s">
        <v>41</v>
      </c>
    </row>
    <row r="164" spans="1:4" x14ac:dyDescent="0.2">
      <c r="A164" t="s">
        <v>293</v>
      </c>
      <c r="B164" t="str">
        <f>[4]ZP!$M$22</f>
        <v>Vrijednost isporuke dobara u postupcima 42 i 63                                      (u kunama i lipama)</v>
      </c>
      <c r="C164" t="s">
        <v>465</v>
      </c>
      <c r="D164" t="s">
        <v>79</v>
      </c>
    </row>
    <row r="165" spans="1:4" x14ac:dyDescent="0.2">
      <c r="A165" t="s">
        <v>294</v>
      </c>
      <c r="B165" t="str">
        <f>[4]ZP!$Q$22</f>
        <v>Vrijednost isporuke dobara u okviru trostranog posla                   (u kunama i lipama)</v>
      </c>
      <c r="C165" t="s">
        <v>500</v>
      </c>
      <c r="D165" t="s">
        <v>80</v>
      </c>
    </row>
    <row r="166" spans="1:4" x14ac:dyDescent="0.2">
      <c r="A166" t="s">
        <v>295</v>
      </c>
      <c r="B166" t="str">
        <f>[4]ZP!$V$22</f>
        <v>Vrijednost obavljenih usluga                                            (u kunama i lipama)</v>
      </c>
      <c r="C166" t="s">
        <v>466</v>
      </c>
      <c r="D166" t="s">
        <v>42</v>
      </c>
    </row>
    <row r="167" spans="1:4" x14ac:dyDescent="0.2">
      <c r="A167" t="s">
        <v>296</v>
      </c>
      <c r="B167" s="43" t="str">
        <f>[4]ZP!$A$41</f>
        <v>Ukupna vrijednost</v>
      </c>
      <c r="C167" t="s">
        <v>459</v>
      </c>
      <c r="D167" t="s">
        <v>43</v>
      </c>
    </row>
    <row r="168" spans="1:4" x14ac:dyDescent="0.2">
      <c r="A168" t="s">
        <v>297</v>
      </c>
      <c r="B168" t="str">
        <f>[4]ZP!$A$46</f>
        <v>Potvrđujem istinitost navedenih podataka</v>
      </c>
      <c r="C168" t="s">
        <v>460</v>
      </c>
      <c r="D168" t="s">
        <v>44</v>
      </c>
    </row>
    <row r="169" spans="1:4" x14ac:dyDescent="0.2">
      <c r="A169" t="s">
        <v>298</v>
      </c>
      <c r="B169" t="str">
        <f>[4]ZP!$A$47</f>
        <v>Obračun sastavio                   (ime i prezime)                     (19)</v>
      </c>
      <c r="C169" t="s">
        <v>462</v>
      </c>
      <c r="D169" t="s">
        <v>45</v>
      </c>
    </row>
    <row r="170" spans="1:4" x14ac:dyDescent="0.2">
      <c r="A170" t="s">
        <v>299</v>
      </c>
      <c r="B170" t="str">
        <f>[4]ZP!$O$46</f>
        <v>Potpis                                                       (20)</v>
      </c>
      <c r="C170" t="s">
        <v>461</v>
      </c>
      <c r="D170" t="s">
        <v>46</v>
      </c>
    </row>
    <row r="171" spans="1:4" x14ac:dyDescent="0.2">
      <c r="A171" t="s">
        <v>300</v>
      </c>
      <c r="B171" t="str">
        <f>[4]ZP!$O$47</f>
        <v>Broj telefona/fax/e-mail       (21)</v>
      </c>
      <c r="C171" t="s">
        <v>467</v>
      </c>
      <c r="D171" t="s">
        <v>47</v>
      </c>
    </row>
    <row r="178" spans="1:4" x14ac:dyDescent="0.2">
      <c r="A178" t="s">
        <v>278</v>
      </c>
      <c r="B178" t="s">
        <v>327</v>
      </c>
      <c r="C178" t="s">
        <v>358</v>
      </c>
      <c r="D178" t="s">
        <v>81</v>
      </c>
    </row>
    <row r="179" spans="1:4" x14ac:dyDescent="0.2">
      <c r="A179" t="s">
        <v>301</v>
      </c>
      <c r="B179" t="s">
        <v>328</v>
      </c>
      <c r="C179" t="s">
        <v>481</v>
      </c>
      <c r="D179" t="s">
        <v>34</v>
      </c>
    </row>
    <row r="180" spans="1:4" x14ac:dyDescent="0.2">
      <c r="A180" t="s">
        <v>302</v>
      </c>
      <c r="B180" t="s">
        <v>329</v>
      </c>
      <c r="C180" t="s">
        <v>496</v>
      </c>
      <c r="D180" t="s">
        <v>35</v>
      </c>
    </row>
    <row r="181" spans="1:4" x14ac:dyDescent="0.2">
      <c r="A181" t="s">
        <v>303</v>
      </c>
      <c r="B181" t="s">
        <v>330</v>
      </c>
      <c r="C181" t="s">
        <v>468</v>
      </c>
      <c r="D181" t="s">
        <v>36</v>
      </c>
    </row>
    <row r="182" spans="1:4" x14ac:dyDescent="0.2">
      <c r="A182" t="s">
        <v>304</v>
      </c>
      <c r="B182" t="s">
        <v>1</v>
      </c>
      <c r="C182" t="s">
        <v>1</v>
      </c>
      <c r="D182" t="s">
        <v>1</v>
      </c>
    </row>
    <row r="183" spans="1:4" x14ac:dyDescent="0.2">
      <c r="A183" t="s">
        <v>305</v>
      </c>
      <c r="B183" t="s">
        <v>331</v>
      </c>
      <c r="C183" t="s">
        <v>477</v>
      </c>
      <c r="D183" t="s">
        <v>48</v>
      </c>
    </row>
    <row r="184" spans="1:4" x14ac:dyDescent="0.2">
      <c r="A184" t="s">
        <v>306</v>
      </c>
      <c r="B184" t="s">
        <v>332</v>
      </c>
      <c r="C184" t="s">
        <v>469</v>
      </c>
      <c r="D184" t="s">
        <v>37</v>
      </c>
    </row>
    <row r="185" spans="1:4" x14ac:dyDescent="0.2">
      <c r="A185" t="s">
        <v>307</v>
      </c>
      <c r="B185" t="s">
        <v>333</v>
      </c>
      <c r="C185" t="s">
        <v>498</v>
      </c>
      <c r="D185" t="s">
        <v>38</v>
      </c>
    </row>
    <row r="186" spans="1:4" x14ac:dyDescent="0.2">
      <c r="A186" t="s">
        <v>308</v>
      </c>
      <c r="B186" t="s">
        <v>577</v>
      </c>
      <c r="C186" t="s">
        <v>499</v>
      </c>
      <c r="D186" t="s">
        <v>82</v>
      </c>
    </row>
    <row r="187" spans="1:4" x14ac:dyDescent="0.2">
      <c r="A187" t="s">
        <v>309</v>
      </c>
      <c r="B187" t="s">
        <v>334</v>
      </c>
      <c r="C187" t="s">
        <v>470</v>
      </c>
      <c r="D187" t="s">
        <v>39</v>
      </c>
    </row>
    <row r="188" spans="1:4" x14ac:dyDescent="0.2">
      <c r="A188" t="s">
        <v>310</v>
      </c>
      <c r="B188" t="s">
        <v>335</v>
      </c>
      <c r="C188" t="s">
        <v>495</v>
      </c>
      <c r="D188" t="s">
        <v>49</v>
      </c>
    </row>
    <row r="189" spans="1:4" x14ac:dyDescent="0.2">
      <c r="A189" t="s">
        <v>311</v>
      </c>
      <c r="B189" t="s">
        <v>336</v>
      </c>
      <c r="C189" t="s">
        <v>476</v>
      </c>
      <c r="D189" t="s">
        <v>50</v>
      </c>
    </row>
    <row r="190" spans="1:4" x14ac:dyDescent="0.2">
      <c r="A190" t="s">
        <v>312</v>
      </c>
      <c r="B190" t="s">
        <v>337</v>
      </c>
      <c r="C190" t="s">
        <v>471</v>
      </c>
      <c r="D190" t="s">
        <v>51</v>
      </c>
    </row>
    <row r="191" spans="1:4" x14ac:dyDescent="0.2">
      <c r="A191" t="s">
        <v>313</v>
      </c>
      <c r="B191" t="s">
        <v>338</v>
      </c>
      <c r="C191" t="s">
        <v>472</v>
      </c>
      <c r="D191" t="s">
        <v>52</v>
      </c>
    </row>
    <row r="192" spans="1:4" x14ac:dyDescent="0.2">
      <c r="A192" t="s">
        <v>314</v>
      </c>
      <c r="B192" t="s">
        <v>339</v>
      </c>
      <c r="C192" t="s">
        <v>459</v>
      </c>
      <c r="D192" t="s">
        <v>43</v>
      </c>
    </row>
    <row r="193" spans="1:4" x14ac:dyDescent="0.2">
      <c r="A193" t="s">
        <v>315</v>
      </c>
      <c r="B193" t="s">
        <v>340</v>
      </c>
      <c r="C193" t="s">
        <v>460</v>
      </c>
      <c r="D193" t="s">
        <v>44</v>
      </c>
    </row>
    <row r="194" spans="1:4" x14ac:dyDescent="0.2">
      <c r="A194" t="s">
        <v>316</v>
      </c>
      <c r="B194" t="s">
        <v>341</v>
      </c>
      <c r="C194" t="s">
        <v>473</v>
      </c>
      <c r="D194" t="s">
        <v>53</v>
      </c>
    </row>
    <row r="195" spans="1:4" x14ac:dyDescent="0.2">
      <c r="A195" t="s">
        <v>317</v>
      </c>
      <c r="B195" t="s">
        <v>342</v>
      </c>
      <c r="C195" t="s">
        <v>474</v>
      </c>
      <c r="D195" t="s">
        <v>54</v>
      </c>
    </row>
    <row r="196" spans="1:4" x14ac:dyDescent="0.2">
      <c r="A196" t="s">
        <v>318</v>
      </c>
      <c r="B196" t="s">
        <v>343</v>
      </c>
      <c r="C196" t="s">
        <v>475</v>
      </c>
      <c r="D196" t="s">
        <v>83</v>
      </c>
    </row>
    <row r="199" spans="1:4" x14ac:dyDescent="0.2">
      <c r="A199" t="s">
        <v>501</v>
      </c>
      <c r="B199" t="str">
        <f>'[2]Knjiga_U-RA'!$B$3</f>
        <v>POREZNI OBVEZNIK: NAZIV/ IME I PREZIME</v>
      </c>
      <c r="C199" t="s">
        <v>426</v>
      </c>
      <c r="D199" t="s">
        <v>7</v>
      </c>
    </row>
    <row r="200" spans="1:4" x14ac:dyDescent="0.2">
      <c r="A200" t="s">
        <v>502</v>
      </c>
      <c r="B200" t="str">
        <f>'[2]Knjiga_U-RA'!$B$6</f>
        <v xml:space="preserve">ADRESA:MJESTO, ULICA I BROJ </v>
      </c>
      <c r="C200" t="s">
        <v>427</v>
      </c>
      <c r="D200" t="s">
        <v>27</v>
      </c>
    </row>
    <row r="201" spans="1:4" x14ac:dyDescent="0.2">
      <c r="A201" t="s">
        <v>503</v>
      </c>
      <c r="B201" t="s">
        <v>344</v>
      </c>
      <c r="C201" t="s">
        <v>450</v>
      </c>
      <c r="D201" t="s">
        <v>8</v>
      </c>
    </row>
    <row r="202" spans="1:4" x14ac:dyDescent="0.2">
      <c r="A202" t="s">
        <v>504</v>
      </c>
      <c r="B202" t="str">
        <f>'[2]Knjiga_U-RA'!$B$13</f>
        <v xml:space="preserve">PDV ID.BR./   </v>
      </c>
      <c r="C202" t="s">
        <v>434</v>
      </c>
      <c r="D202" t="s">
        <v>76</v>
      </c>
    </row>
    <row r="203" spans="1:4" x14ac:dyDescent="0.2">
      <c r="A203" t="s">
        <v>505</v>
      </c>
      <c r="B203" t="s">
        <v>531</v>
      </c>
      <c r="C203" t="s">
        <v>532</v>
      </c>
      <c r="D203" t="s">
        <v>533</v>
      </c>
    </row>
    <row r="204" spans="1:4" x14ac:dyDescent="0.2">
      <c r="A204" t="s">
        <v>506</v>
      </c>
      <c r="B204" t="str">
        <f>'[2]Knjiga_U-RA'!$N$16</f>
        <v>IZNOS U KUNAMA I LIPAMA</v>
      </c>
      <c r="C204" t="s">
        <v>428</v>
      </c>
      <c r="D204" t="s">
        <v>29</v>
      </c>
    </row>
    <row r="205" spans="1:4" x14ac:dyDescent="0.2">
      <c r="A205" t="s">
        <v>507</v>
      </c>
      <c r="B205" t="str">
        <f>'[2]Knjiga_U-RA'!$A$19</f>
        <v xml:space="preserve"> RED.BR.</v>
      </c>
      <c r="C205" t="s">
        <v>445</v>
      </c>
      <c r="D205" t="s">
        <v>10</v>
      </c>
    </row>
    <row r="206" spans="1:4" x14ac:dyDescent="0.2">
      <c r="A206" t="s">
        <v>508</v>
      </c>
      <c r="B206" t="str">
        <f>'[2]Knjiga_U-RA'!$B$19</f>
        <v xml:space="preserve">RAČUN </v>
      </c>
      <c r="C206" t="s">
        <v>430</v>
      </c>
      <c r="D206" t="s">
        <v>13</v>
      </c>
    </row>
    <row r="207" spans="1:4" x14ac:dyDescent="0.2">
      <c r="A207" t="s">
        <v>509</v>
      </c>
      <c r="B207" t="str">
        <f>'[2]Knjiga_U-RA'!$B$21</f>
        <v xml:space="preserve">BROJ </v>
      </c>
      <c r="C207" t="s">
        <v>429</v>
      </c>
      <c r="D207" t="s">
        <v>11</v>
      </c>
    </row>
    <row r="208" spans="1:4" x14ac:dyDescent="0.2">
      <c r="A208" t="s">
        <v>510</v>
      </c>
      <c r="B208" t="str">
        <f>'[2]Knjiga_U-RA'!$C$21</f>
        <v>DATUM</v>
      </c>
      <c r="C208" t="s">
        <v>431</v>
      </c>
      <c r="D208" t="s">
        <v>12</v>
      </c>
    </row>
    <row r="209" spans="1:4" x14ac:dyDescent="0.2">
      <c r="A209" t="s">
        <v>511</v>
      </c>
      <c r="B209" t="str">
        <f>'[2]Knjiga_U-RA'!$D$19</f>
        <v>DOBAVLJAČ ( ISPORUČITELJ DOBARA ILI USLUGA)</v>
      </c>
      <c r="C209" t="s">
        <v>488</v>
      </c>
      <c r="D209" t="s">
        <v>30</v>
      </c>
    </row>
    <row r="210" spans="1:4" x14ac:dyDescent="0.2">
      <c r="A210" t="s">
        <v>512</v>
      </c>
      <c r="B210" t="str">
        <f>'[2]Knjiga_U-RA'!$D$21</f>
        <v>NAZIV- IME I PREZIME I SJEDIŠTE/ PREBIVALIŠTE ILI UOBIČAJENO BORAVIŠTE</v>
      </c>
      <c r="C210" t="s">
        <v>433</v>
      </c>
      <c r="D210" t="s">
        <v>15</v>
      </c>
    </row>
    <row r="211" spans="1:4" x14ac:dyDescent="0.2">
      <c r="A211" t="s">
        <v>513</v>
      </c>
      <c r="B211" t="str">
        <f>'[2]Knjiga_U-RA'!$F$21</f>
        <v>( PDV ID. BR)</v>
      </c>
      <c r="C211" t="s">
        <v>434</v>
      </c>
      <c r="D211" t="s">
        <v>76</v>
      </c>
    </row>
    <row r="212" spans="1:4" x14ac:dyDescent="0.2">
      <c r="A212" t="s">
        <v>514</v>
      </c>
      <c r="B212" t="str">
        <f>'[2]Knjiga_U-RA'!$G$21</f>
        <v xml:space="preserve">POREZNA OSNOVICA </v>
      </c>
      <c r="C212" t="s">
        <v>451</v>
      </c>
      <c r="D212" t="s">
        <v>25</v>
      </c>
    </row>
    <row r="213" spans="1:4" x14ac:dyDescent="0.2">
      <c r="A213" t="s">
        <v>515</v>
      </c>
      <c r="B213" s="41">
        <v>0.05</v>
      </c>
      <c r="C213" s="41">
        <v>0.05</v>
      </c>
      <c r="D213" s="41">
        <v>0.05</v>
      </c>
    </row>
    <row r="214" spans="1:4" x14ac:dyDescent="0.2">
      <c r="A214" t="s">
        <v>516</v>
      </c>
      <c r="B214" s="41">
        <v>0.1</v>
      </c>
      <c r="C214" s="41">
        <v>0.1</v>
      </c>
      <c r="D214" s="41">
        <v>0.1</v>
      </c>
    </row>
    <row r="215" spans="1:4" x14ac:dyDescent="0.2">
      <c r="A215" t="s">
        <v>517</v>
      </c>
      <c r="B215" s="41">
        <v>0.25</v>
      </c>
      <c r="C215" s="41">
        <v>0.25</v>
      </c>
      <c r="D215" s="41">
        <v>0.25</v>
      </c>
    </row>
    <row r="216" spans="1:4" x14ac:dyDescent="0.2">
      <c r="A216" t="s">
        <v>518</v>
      </c>
      <c r="B216" t="str">
        <f>'[2]Knjiga_U-RA'!$J$21</f>
        <v>UKUPNI IZNOS RAČUNA S PDV-om</v>
      </c>
      <c r="C216" t="s">
        <v>491</v>
      </c>
      <c r="D216" t="s">
        <v>31</v>
      </c>
    </row>
    <row r="217" spans="1:4" x14ac:dyDescent="0.2">
      <c r="A217" t="s">
        <v>519</v>
      </c>
      <c r="B217" t="str">
        <f>'[2]Knjiga_U-RA'!$K$21</f>
        <v>OSLOBOĐENO POREZA / NEOPOREZIVO</v>
      </c>
      <c r="C217" t="s">
        <v>447</v>
      </c>
      <c r="D217" t="s">
        <v>18</v>
      </c>
    </row>
    <row r="218" spans="1:4" x14ac:dyDescent="0.2">
      <c r="A218" t="s">
        <v>520</v>
      </c>
      <c r="B218" t="str">
        <f>'[2]Knjiga_U-RA'!$M$19</f>
        <v xml:space="preserve">POREZ </v>
      </c>
      <c r="C218" t="s">
        <v>444</v>
      </c>
      <c r="D218" t="s">
        <v>26</v>
      </c>
    </row>
    <row r="219" spans="1:4" x14ac:dyDescent="0.2">
      <c r="A219" t="s">
        <v>521</v>
      </c>
      <c r="B219" s="41">
        <v>0.05</v>
      </c>
      <c r="C219" s="41">
        <v>0.05</v>
      </c>
      <c r="D219" s="41">
        <v>0.05</v>
      </c>
    </row>
    <row r="220" spans="1:4" x14ac:dyDescent="0.2">
      <c r="A220" t="s">
        <v>522</v>
      </c>
      <c r="B220" t="str">
        <f>'[2]Knjiga_U-RA'!$M$23</f>
        <v xml:space="preserve">MOŽE SE ODBITI  </v>
      </c>
      <c r="C220" t="s">
        <v>448</v>
      </c>
      <c r="D220" t="s">
        <v>32</v>
      </c>
    </row>
    <row r="221" spans="1:4" x14ac:dyDescent="0.2">
      <c r="A221" t="s">
        <v>523</v>
      </c>
      <c r="B221" t="str">
        <f>'[2]Knjiga_U-RA'!$N$23</f>
        <v xml:space="preserve">NE MOŽE SE ODBIT </v>
      </c>
      <c r="C221" t="s">
        <v>449</v>
      </c>
      <c r="D221" t="s">
        <v>33</v>
      </c>
    </row>
    <row r="222" spans="1:4" x14ac:dyDescent="0.2">
      <c r="A222" t="s">
        <v>524</v>
      </c>
      <c r="B222" s="41">
        <v>0.13</v>
      </c>
      <c r="C222" s="41">
        <v>0.13</v>
      </c>
      <c r="D222" s="41">
        <v>0.13</v>
      </c>
    </row>
    <row r="223" spans="1:4" x14ac:dyDescent="0.2">
      <c r="A223" t="s">
        <v>525</v>
      </c>
      <c r="B223" t="str">
        <f>B220</f>
        <v xml:space="preserve">MOŽE SE ODBITI  </v>
      </c>
      <c r="C223" t="s">
        <v>448</v>
      </c>
      <c r="D223" t="s">
        <v>32</v>
      </c>
    </row>
    <row r="224" spans="1:4" x14ac:dyDescent="0.2">
      <c r="A224" t="s">
        <v>526</v>
      </c>
      <c r="B224" t="str">
        <f>B221</f>
        <v xml:space="preserve">NE MOŽE SE ODBIT </v>
      </c>
      <c r="C224" t="s">
        <v>449</v>
      </c>
      <c r="D224" t="s">
        <v>33</v>
      </c>
    </row>
    <row r="225" spans="1:4" x14ac:dyDescent="0.2">
      <c r="A225" t="s">
        <v>527</v>
      </c>
      <c r="B225" s="41">
        <v>0.25</v>
      </c>
      <c r="C225" s="41">
        <v>0.25</v>
      </c>
      <c r="D225" s="41">
        <v>0.25</v>
      </c>
    </row>
    <row r="226" spans="1:4" x14ac:dyDescent="0.2">
      <c r="A226" t="s">
        <v>528</v>
      </c>
      <c r="B226" t="str">
        <f>B223</f>
        <v xml:space="preserve">MOŽE SE ODBITI  </v>
      </c>
      <c r="C226" t="s">
        <v>448</v>
      </c>
      <c r="D226" t="s">
        <v>32</v>
      </c>
    </row>
    <row r="227" spans="1:4" x14ac:dyDescent="0.2">
      <c r="A227" t="s">
        <v>529</v>
      </c>
      <c r="B227" t="str">
        <f>B224</f>
        <v xml:space="preserve">NE MOŽE SE ODBIT </v>
      </c>
      <c r="C227" t="s">
        <v>449</v>
      </c>
      <c r="D227" t="s">
        <v>33</v>
      </c>
    </row>
    <row r="228" spans="1:4" x14ac:dyDescent="0.2">
      <c r="A228" t="s">
        <v>530</v>
      </c>
      <c r="B228" t="s">
        <v>424</v>
      </c>
      <c r="C228" t="s">
        <v>446</v>
      </c>
      <c r="D228" t="s">
        <v>425</v>
      </c>
    </row>
    <row r="231" spans="1:4" x14ac:dyDescent="0.2">
      <c r="A231" t="s">
        <v>534</v>
      </c>
      <c r="B231" t="str">
        <f>'[2]Knjiga_U-RA'!$B$3</f>
        <v>POREZNI OBVEZNIK: NAZIV/ IME I PREZIME</v>
      </c>
      <c r="C231" t="s">
        <v>426</v>
      </c>
      <c r="D231" t="s">
        <v>7</v>
      </c>
    </row>
    <row r="232" spans="1:4" x14ac:dyDescent="0.2">
      <c r="A232" t="s">
        <v>535</v>
      </c>
      <c r="B232" t="str">
        <f>'[2]Knjiga_U-RA'!$B$6</f>
        <v xml:space="preserve">ADRESA:MJESTO, ULICA I BROJ </v>
      </c>
      <c r="C232" t="s">
        <v>427</v>
      </c>
      <c r="D232" t="s">
        <v>27</v>
      </c>
    </row>
    <row r="233" spans="1:4" x14ac:dyDescent="0.2">
      <c r="A233" t="s">
        <v>536</v>
      </c>
      <c r="B233" t="s">
        <v>344</v>
      </c>
      <c r="C233" t="s">
        <v>450</v>
      </c>
      <c r="D233" t="s">
        <v>8</v>
      </c>
    </row>
    <row r="234" spans="1:4" x14ac:dyDescent="0.2">
      <c r="A234" t="s">
        <v>537</v>
      </c>
      <c r="B234" t="str">
        <f>'[2]Knjiga_U-RA'!$B$13</f>
        <v xml:space="preserve">PDV ID.BR./   </v>
      </c>
      <c r="C234" t="s">
        <v>434</v>
      </c>
      <c r="D234" t="s">
        <v>76</v>
      </c>
    </row>
    <row r="235" spans="1:4" x14ac:dyDescent="0.2">
      <c r="A235" t="s">
        <v>538</v>
      </c>
      <c r="B235" t="s">
        <v>564</v>
      </c>
      <c r="C235" t="s">
        <v>565</v>
      </c>
      <c r="D235" t="s">
        <v>566</v>
      </c>
    </row>
    <row r="236" spans="1:4" x14ac:dyDescent="0.2">
      <c r="A236" t="s">
        <v>539</v>
      </c>
      <c r="B236" t="str">
        <f>'[2]Knjiga_U-RA'!$N$16</f>
        <v>IZNOS U KUNAMA I LIPAMA</v>
      </c>
      <c r="C236" t="s">
        <v>428</v>
      </c>
      <c r="D236" t="s">
        <v>29</v>
      </c>
    </row>
    <row r="237" spans="1:4" x14ac:dyDescent="0.2">
      <c r="A237" t="s">
        <v>540</v>
      </c>
      <c r="B237" t="str">
        <f>'[2]Knjiga_U-RA'!$A$19</f>
        <v xml:space="preserve"> RED.BR.</v>
      </c>
      <c r="C237" t="s">
        <v>445</v>
      </c>
      <c r="D237" t="s">
        <v>10</v>
      </c>
    </row>
    <row r="238" spans="1:4" x14ac:dyDescent="0.2">
      <c r="A238" t="s">
        <v>541</v>
      </c>
      <c r="B238" t="str">
        <f>'[2]Knjiga_U-RA'!$B$19</f>
        <v xml:space="preserve">RAČUN </v>
      </c>
      <c r="C238" t="s">
        <v>430</v>
      </c>
      <c r="D238" t="s">
        <v>13</v>
      </c>
    </row>
    <row r="239" spans="1:4" x14ac:dyDescent="0.2">
      <c r="A239" t="s">
        <v>542</v>
      </c>
      <c r="B239" t="str">
        <f>'[2]Knjiga_U-RA'!$B$21</f>
        <v xml:space="preserve">BROJ </v>
      </c>
      <c r="C239" t="s">
        <v>429</v>
      </c>
      <c r="D239" t="s">
        <v>11</v>
      </c>
    </row>
    <row r="240" spans="1:4" x14ac:dyDescent="0.2">
      <c r="A240" t="s">
        <v>543</v>
      </c>
      <c r="B240" t="str">
        <f>'[2]Knjiga_U-RA'!$C$21</f>
        <v>DATUM</v>
      </c>
      <c r="C240" t="s">
        <v>431</v>
      </c>
      <c r="D240" t="s">
        <v>12</v>
      </c>
    </row>
    <row r="241" spans="1:4" x14ac:dyDescent="0.2">
      <c r="A241" t="s">
        <v>544</v>
      </c>
      <c r="B241" t="str">
        <f>'[2]Knjiga_U-RA'!$D$19</f>
        <v>DOBAVLJAČ ( ISPORUČITELJ DOBARA ILI USLUGA)</v>
      </c>
      <c r="C241" t="s">
        <v>488</v>
      </c>
      <c r="D241" t="s">
        <v>30</v>
      </c>
    </row>
    <row r="242" spans="1:4" x14ac:dyDescent="0.2">
      <c r="A242" t="s">
        <v>545</v>
      </c>
      <c r="B242" t="str">
        <f>'[2]Knjiga_U-RA'!$D$21</f>
        <v>NAZIV- IME I PREZIME I SJEDIŠTE/ PREBIVALIŠTE ILI UOBIČAJENO BORAVIŠTE</v>
      </c>
      <c r="C242" t="s">
        <v>433</v>
      </c>
      <c r="D242" t="s">
        <v>15</v>
      </c>
    </row>
    <row r="243" spans="1:4" x14ac:dyDescent="0.2">
      <c r="A243" t="s">
        <v>546</v>
      </c>
      <c r="B243" t="str">
        <f>'[2]Knjiga_U-RA'!$F$21</f>
        <v>( PDV ID. BR)</v>
      </c>
      <c r="C243" t="s">
        <v>434</v>
      </c>
      <c r="D243" t="s">
        <v>76</v>
      </c>
    </row>
    <row r="244" spans="1:4" x14ac:dyDescent="0.2">
      <c r="A244" t="s">
        <v>547</v>
      </c>
      <c r="B244" t="str">
        <f>'[2]Knjiga_U-RA'!$G$21</f>
        <v xml:space="preserve">POREZNA OSNOVICA </v>
      </c>
      <c r="C244" t="s">
        <v>451</v>
      </c>
      <c r="D244" t="s">
        <v>25</v>
      </c>
    </row>
    <row r="245" spans="1:4" x14ac:dyDescent="0.2">
      <c r="A245" t="s">
        <v>548</v>
      </c>
      <c r="B245" s="41">
        <v>0.05</v>
      </c>
      <c r="C245" s="41">
        <v>0.05</v>
      </c>
      <c r="D245" s="41">
        <v>0.05</v>
      </c>
    </row>
    <row r="246" spans="1:4" x14ac:dyDescent="0.2">
      <c r="A246" t="s">
        <v>549</v>
      </c>
      <c r="B246" s="41">
        <v>0.1</v>
      </c>
      <c r="C246" s="41">
        <v>0.1</v>
      </c>
      <c r="D246" s="41">
        <v>0.1</v>
      </c>
    </row>
    <row r="247" spans="1:4" x14ac:dyDescent="0.2">
      <c r="A247" t="s">
        <v>550</v>
      </c>
      <c r="B247" s="41">
        <v>0.25</v>
      </c>
      <c r="C247" s="41">
        <v>0.25</v>
      </c>
      <c r="D247" s="41">
        <v>0.25</v>
      </c>
    </row>
    <row r="248" spans="1:4" x14ac:dyDescent="0.2">
      <c r="A248" t="s">
        <v>551</v>
      </c>
      <c r="B248" t="str">
        <f>'[2]Knjiga_U-RA'!$J$21</f>
        <v>UKUPNI IZNOS RAČUNA S PDV-om</v>
      </c>
      <c r="C248" t="s">
        <v>491</v>
      </c>
      <c r="D248" t="s">
        <v>31</v>
      </c>
    </row>
    <row r="249" spans="1:4" x14ac:dyDescent="0.2">
      <c r="A249" t="s">
        <v>552</v>
      </c>
      <c r="B249" t="str">
        <f>'[2]Knjiga_U-RA'!$K$21</f>
        <v>OSLOBOĐENO POREZA / NEOPOREZIVO</v>
      </c>
      <c r="C249" t="s">
        <v>447</v>
      </c>
      <c r="D249" t="s">
        <v>18</v>
      </c>
    </row>
    <row r="250" spans="1:4" x14ac:dyDescent="0.2">
      <c r="A250" t="s">
        <v>553</v>
      </c>
      <c r="B250" t="str">
        <f>'[2]Knjiga_U-RA'!$M$19</f>
        <v xml:space="preserve">POREZ </v>
      </c>
      <c r="C250" t="s">
        <v>444</v>
      </c>
      <c r="D250" t="s">
        <v>26</v>
      </c>
    </row>
    <row r="251" spans="1:4" x14ac:dyDescent="0.2">
      <c r="A251" t="s">
        <v>554</v>
      </c>
      <c r="B251" s="41">
        <v>0.05</v>
      </c>
      <c r="C251" s="41">
        <v>0.05</v>
      </c>
      <c r="D251" s="41">
        <v>0.05</v>
      </c>
    </row>
    <row r="252" spans="1:4" x14ac:dyDescent="0.2">
      <c r="A252" t="s">
        <v>555</v>
      </c>
      <c r="B252" t="str">
        <f>'[2]Knjiga_U-RA'!$M$23</f>
        <v xml:space="preserve">MOŽE SE ODBITI  </v>
      </c>
      <c r="C252" t="s">
        <v>448</v>
      </c>
      <c r="D252" t="s">
        <v>32</v>
      </c>
    </row>
    <row r="253" spans="1:4" x14ac:dyDescent="0.2">
      <c r="A253" t="s">
        <v>556</v>
      </c>
      <c r="B253" t="str">
        <f>'[2]Knjiga_U-RA'!$N$23</f>
        <v xml:space="preserve">NE MOŽE SE ODBIT </v>
      </c>
      <c r="C253" t="s">
        <v>449</v>
      </c>
      <c r="D253" t="s">
        <v>33</v>
      </c>
    </row>
    <row r="254" spans="1:4" x14ac:dyDescent="0.2">
      <c r="A254" t="s">
        <v>557</v>
      </c>
      <c r="B254" s="41">
        <v>0.13</v>
      </c>
      <c r="C254" s="41">
        <v>0.13</v>
      </c>
      <c r="D254" s="41">
        <v>0.13</v>
      </c>
    </row>
    <row r="255" spans="1:4" x14ac:dyDescent="0.2">
      <c r="A255" t="s">
        <v>558</v>
      </c>
      <c r="B255" t="str">
        <f>B252</f>
        <v xml:space="preserve">MOŽE SE ODBITI  </v>
      </c>
      <c r="C255" t="s">
        <v>448</v>
      </c>
      <c r="D255" t="s">
        <v>32</v>
      </c>
    </row>
    <row r="256" spans="1:4" x14ac:dyDescent="0.2">
      <c r="A256" t="s">
        <v>559</v>
      </c>
      <c r="B256" t="str">
        <f>B253</f>
        <v xml:space="preserve">NE MOŽE SE ODBIT </v>
      </c>
      <c r="C256" t="s">
        <v>449</v>
      </c>
      <c r="D256" t="s">
        <v>33</v>
      </c>
    </row>
    <row r="257" spans="1:4" x14ac:dyDescent="0.2">
      <c r="A257" t="s">
        <v>560</v>
      </c>
      <c r="B257" s="41">
        <v>0.25</v>
      </c>
      <c r="C257" s="41">
        <v>0.25</v>
      </c>
      <c r="D257" s="41">
        <v>0.25</v>
      </c>
    </row>
    <row r="258" spans="1:4" x14ac:dyDescent="0.2">
      <c r="A258" t="s">
        <v>561</v>
      </c>
      <c r="B258" t="str">
        <f>B255</f>
        <v xml:space="preserve">MOŽE SE ODBITI  </v>
      </c>
      <c r="C258" t="s">
        <v>448</v>
      </c>
      <c r="D258" t="s">
        <v>32</v>
      </c>
    </row>
    <row r="259" spans="1:4" x14ac:dyDescent="0.2">
      <c r="A259" t="s">
        <v>562</v>
      </c>
      <c r="B259" t="str">
        <f>B256</f>
        <v xml:space="preserve">NE MOŽE SE ODBIT </v>
      </c>
      <c r="C259" t="s">
        <v>449</v>
      </c>
      <c r="D259" t="s">
        <v>33</v>
      </c>
    </row>
    <row r="260" spans="1:4" x14ac:dyDescent="0.2">
      <c r="A260" t="s">
        <v>563</v>
      </c>
      <c r="B260" t="s">
        <v>424</v>
      </c>
      <c r="C260" t="s">
        <v>446</v>
      </c>
      <c r="D260" t="s">
        <v>425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3:N73"/>
  <sheetViews>
    <sheetView zoomScale="70" zoomScaleNormal="70" workbookViewId="0">
      <selection activeCell="M39" sqref="M39"/>
    </sheetView>
  </sheetViews>
  <sheetFormatPr baseColWidth="10" defaultColWidth="9" defaultRowHeight="12.75" x14ac:dyDescent="0.2"/>
  <cols>
    <col min="2" max="2" width="11.375" customWidth="1"/>
    <col min="3" max="3" width="11.125" customWidth="1"/>
    <col min="5" max="5" width="9" customWidth="1"/>
    <col min="6" max="6" width="14" customWidth="1"/>
    <col min="7" max="7" width="9" customWidth="1"/>
    <col min="8" max="8" width="15.5" customWidth="1"/>
    <col min="9" max="9" width="13.5" customWidth="1"/>
    <col min="11" max="11" width="13.75" customWidth="1"/>
  </cols>
  <sheetData>
    <row r="3" spans="2:11" x14ac:dyDescent="0.2">
      <c r="I3" s="267" t="str">
        <f>INDEX(PRIJEVODI!B:D,MATCH("PDV-S-001",PRIJEVODI!A:A,0),MATCH(NASLOV!$B$2,PRIJEVODI!$B$1:$D$1,0))</f>
        <v>UVA Formular</v>
      </c>
      <c r="J3" s="267"/>
      <c r="K3" s="267"/>
    </row>
    <row r="4" spans="2:11" x14ac:dyDescent="0.2">
      <c r="I4" s="267"/>
      <c r="J4" s="267"/>
      <c r="K4" s="267"/>
    </row>
    <row r="5" spans="2:11" ht="12.75" customHeight="1" x14ac:dyDescent="0.2"/>
    <row r="6" spans="2:11" ht="12.75" customHeight="1" x14ac:dyDescent="0.2">
      <c r="B6" s="295" t="str">
        <f>INDEX(PRIJEVODI!B:D,MATCH("PDV-S-002",PRIJEVODI!A:A,0),MATCH(NASLOV!$B$2,PRIJEVODI!$B$1:$D$1,0))</f>
        <v>ZUSTÄNDIGES FINANZAMT - REGIONALBÜRO (1)</v>
      </c>
      <c r="C6" s="296"/>
      <c r="D6" s="375" t="s">
        <v>570</v>
      </c>
      <c r="E6" s="376"/>
      <c r="G6" s="369" t="str">
        <f>INDEX(PRIJEVODI!B:D,MATCH("PDV-S-004",PRIJEVODI!A:A,0),MATCH(NASLOV!$B$2,PRIJEVODI!$B$1:$D$1,0))</f>
        <v>STEUERNUMMER (UID) (3)</v>
      </c>
      <c r="H6" s="371"/>
      <c r="I6" s="351" t="str">
        <f>INDEX(PRIJEVODI!B:D,MATCH("PDV-S-005",PRIJEVODI!A:A,0),MATCH(NASLOV!$B$2,PRIJEVODI!$B$1:$D$1,0))</f>
        <v>HR</v>
      </c>
      <c r="J6" s="263" t="str">
        <f>+NASLOV!B9</f>
        <v>HR6411581446</v>
      </c>
      <c r="K6" s="323"/>
    </row>
    <row r="7" spans="2:11" ht="12.75" customHeight="1" x14ac:dyDescent="0.2">
      <c r="B7" s="297"/>
      <c r="C7" s="298"/>
      <c r="D7" s="377"/>
      <c r="E7" s="378"/>
      <c r="G7" s="372"/>
      <c r="H7" s="374"/>
      <c r="I7" s="353"/>
      <c r="J7" s="265"/>
      <c r="K7" s="327"/>
    </row>
    <row r="8" spans="2:11" ht="12.75" customHeight="1" x14ac:dyDescent="0.2">
      <c r="B8" s="299"/>
      <c r="C8" s="300"/>
      <c r="D8" s="379"/>
      <c r="E8" s="380"/>
      <c r="G8" s="295" t="str">
        <f>INDEX(PRIJEVODI!B:D,MATCH("PDV-S-006",PRIJEVODI!A:A,0),MATCH(NASLOV!$B$2,PRIJEVODI!$B$1:$D$1,0))</f>
        <v>Steuerpflichtiger (Titel/Name und Nachname)  (4)</v>
      </c>
      <c r="H8" s="296"/>
      <c r="I8" s="362" t="str">
        <f>NASLOV!B5</f>
        <v>Markus Renz</v>
      </c>
      <c r="J8" s="272"/>
      <c r="K8" s="278"/>
    </row>
    <row r="9" spans="2:11" ht="12.75" customHeight="1" x14ac:dyDescent="0.2">
      <c r="B9" s="263" t="str">
        <f>INDEX(PRIJEVODI!B:D,MATCH("PDV-S-003",PRIJEVODI!A:A,0),MATCH(NASLOV!$B$2,PRIJEVODI!$B$1:$D$1,0))</f>
        <v xml:space="preserve">Aussenstelle </v>
      </c>
      <c r="C9" s="323"/>
      <c r="D9" s="375" t="s">
        <v>571</v>
      </c>
      <c r="E9" s="376"/>
      <c r="G9" s="297"/>
      <c r="H9" s="298"/>
      <c r="I9" s="382"/>
      <c r="J9" s="267"/>
      <c r="K9" s="273"/>
    </row>
    <row r="10" spans="2:11" ht="12.75" customHeight="1" x14ac:dyDescent="0.2">
      <c r="B10" s="264"/>
      <c r="C10" s="325"/>
      <c r="D10" s="377"/>
      <c r="E10" s="378"/>
      <c r="G10" s="299"/>
      <c r="H10" s="300"/>
      <c r="I10" s="274"/>
      <c r="J10" s="275"/>
      <c r="K10" s="276"/>
    </row>
    <row r="11" spans="2:11" ht="12.75" customHeight="1" x14ac:dyDescent="0.2">
      <c r="B11" s="265"/>
      <c r="C11" s="327"/>
      <c r="D11" s="379"/>
      <c r="E11" s="380"/>
      <c r="G11" s="369" t="str">
        <f>INDEX(PRIJEVODI!B:D,MATCH("PDV-S-007",PRIJEVODI!A:A,0),MATCH(NASLOV!$B$2,PRIJEVODI!$B$1:$D$1,0))</f>
        <v>Adresse (Ort, Strasse und Hausnummer)  (5)</v>
      </c>
      <c r="H11" s="371"/>
      <c r="I11" s="362" t="str">
        <f>NASLOV!B7</f>
        <v>Am Sonnblick 6, Lichtenau</v>
      </c>
      <c r="J11" s="272"/>
      <c r="K11" s="278"/>
    </row>
    <row r="12" spans="2:11" ht="12.75" customHeight="1" x14ac:dyDescent="0.2">
      <c r="G12" s="372"/>
      <c r="H12" s="374"/>
      <c r="I12" s="274"/>
      <c r="J12" s="275"/>
      <c r="K12" s="276"/>
    </row>
    <row r="13" spans="2:11" ht="12.75" customHeight="1" x14ac:dyDescent="0.2">
      <c r="G13" s="295" t="str">
        <f>INDEX(PRIJEVODI!B:D,MATCH("PDV-S-008",PRIJEVODI!A:A,0),MATCH(NASLOV!$B$2,PRIJEVODI!$B$1:$D$1,0))</f>
        <v xml:space="preserve">Steuernummer UID des Steuervertreters </v>
      </c>
      <c r="H13" s="296"/>
      <c r="I13" s="351" t="s">
        <v>1</v>
      </c>
      <c r="J13" s="362"/>
      <c r="K13" s="278"/>
    </row>
    <row r="14" spans="2:11" x14ac:dyDescent="0.2">
      <c r="G14" s="299"/>
      <c r="H14" s="300"/>
      <c r="I14" s="353"/>
      <c r="J14" s="274"/>
      <c r="K14" s="276"/>
    </row>
    <row r="20" spans="2:14" ht="12.75" customHeight="1" x14ac:dyDescent="0.2">
      <c r="B20" s="367" t="str">
        <f>INDEX(PRIJEVODI!B:D,MATCH("PDV-S-009",PRIJEVODI!A:A,0),MATCH(NASLOV!$B$2,PRIJEVODI!$B$1:$D$1,0))</f>
        <v>Anmeldung für den Erwerb von Gütern und erhaltene Dienstleistungen aus anderen EU Mitgliedsstaaten für den Monat_____ Jahr</v>
      </c>
      <c r="C20" s="367"/>
      <c r="D20" s="367"/>
      <c r="E20" s="367"/>
      <c r="F20" s="367"/>
      <c r="G20" s="367"/>
      <c r="H20" s="367"/>
      <c r="I20" s="367"/>
    </row>
    <row r="21" spans="2:14" x14ac:dyDescent="0.2">
      <c r="B21" s="367"/>
      <c r="C21" s="367"/>
      <c r="D21" s="367"/>
      <c r="E21" s="367"/>
      <c r="F21" s="367"/>
      <c r="G21" s="367"/>
      <c r="H21" s="367"/>
      <c r="I21" s="367"/>
    </row>
    <row r="22" spans="2:14" x14ac:dyDescent="0.2">
      <c r="B22" s="367"/>
      <c r="C22" s="367"/>
      <c r="D22" s="367"/>
      <c r="E22" s="367"/>
      <c r="F22" s="367"/>
      <c r="G22" s="367"/>
      <c r="H22" s="367"/>
      <c r="I22" s="367"/>
    </row>
    <row r="23" spans="2:14" x14ac:dyDescent="0.2">
      <c r="B23" s="367"/>
      <c r="C23" s="367"/>
      <c r="D23" s="367"/>
      <c r="E23" s="367"/>
      <c r="F23" s="367"/>
      <c r="G23" s="367"/>
      <c r="H23" s="367"/>
      <c r="I23" s="367"/>
    </row>
    <row r="26" spans="2:14" x14ac:dyDescent="0.2">
      <c r="B26" s="301" t="str">
        <f>INDEX(PRIJEVODI!B:D,MATCH("PDV-S-010",PRIJEVODI!A:A,0),MATCH(NASLOV!$B$2,PRIJEVODI!$B$1:$D$1,0))</f>
        <v>Ordnugsnummer  (8)</v>
      </c>
      <c r="C26" s="301" t="str">
        <f>INDEX(PRIJEVODI!B:D,MATCH("PDV-S-011",PRIJEVODI!A:A,0),MATCH(NASLOV!$B$2,PRIJEVODI!$B$1:$D$1,0))</f>
        <v>Landescode  (9)</v>
      </c>
      <c r="D26" s="295" t="str">
        <f>INDEX(PRIJEVODI!B:D,MATCH("PDV-S-012",PRIJEVODI!A:A,0),MATCH(NASLOV!$B$2,PRIJEVODI!$B$1:$D$1,0))</f>
        <v>Steuernummer UID der Lieferanten (ohne Landesvorwahl)  (10)</v>
      </c>
      <c r="E26" s="296"/>
      <c r="F26" s="295" t="str">
        <f>INDEX(PRIJEVODI!B:D,MATCH("PDV-S-013",PRIJEVODI!A:A,0),MATCH(NASLOV!$B$2,PRIJEVODI!$B$1:$D$1,0))</f>
        <v>Wert der erworbenen Güter (in Kuna und Lipa)  (11)</v>
      </c>
      <c r="G26" s="296"/>
      <c r="H26" s="295" t="str">
        <f>INDEX(PRIJEVODI!B:D,MATCH("PDV-S-014",PRIJEVODI!A:A,0),MATCH(NASLOV!$B$2,PRIJEVODI!$B$1:$D$1,0))</f>
        <v>Wert der erhaltenen Dienstleistungen (in Kuna und Lipa)  (12)</v>
      </c>
      <c r="I26" s="296"/>
    </row>
    <row r="27" spans="2:14" x14ac:dyDescent="0.2">
      <c r="B27" s="302"/>
      <c r="C27" s="302"/>
      <c r="D27" s="297"/>
      <c r="E27" s="298"/>
      <c r="F27" s="297"/>
      <c r="G27" s="298"/>
      <c r="H27" s="297"/>
      <c r="I27" s="298"/>
    </row>
    <row r="28" spans="2:14" x14ac:dyDescent="0.2">
      <c r="B28" s="302"/>
      <c r="C28" s="302"/>
      <c r="D28" s="297"/>
      <c r="E28" s="298"/>
      <c r="F28" s="297"/>
      <c r="G28" s="298"/>
      <c r="H28" s="297"/>
      <c r="I28" s="298"/>
    </row>
    <row r="29" spans="2:14" x14ac:dyDescent="0.2">
      <c r="B29" s="302"/>
      <c r="C29" s="302"/>
      <c r="D29" s="297"/>
      <c r="E29" s="298"/>
      <c r="F29" s="297"/>
      <c r="G29" s="298"/>
      <c r="H29" s="297"/>
      <c r="I29" s="298"/>
    </row>
    <row r="30" spans="2:14" x14ac:dyDescent="0.2">
      <c r="B30" s="302"/>
      <c r="C30" s="302"/>
      <c r="D30" s="297"/>
      <c r="E30" s="298"/>
      <c r="F30" s="297"/>
      <c r="G30" s="298"/>
      <c r="H30" s="297"/>
      <c r="I30" s="298"/>
    </row>
    <row r="31" spans="2:14" x14ac:dyDescent="0.2">
      <c r="B31" s="302"/>
      <c r="C31" s="302"/>
      <c r="D31" s="297"/>
      <c r="E31" s="298"/>
      <c r="F31" s="297"/>
      <c r="G31" s="298"/>
      <c r="H31" s="297"/>
      <c r="I31" s="298"/>
    </row>
    <row r="32" spans="2:14" x14ac:dyDescent="0.2">
      <c r="B32" s="302"/>
      <c r="C32" s="302"/>
      <c r="D32" s="297"/>
      <c r="E32" s="298"/>
      <c r="F32" s="297"/>
      <c r="G32" s="298"/>
      <c r="H32" s="297"/>
      <c r="I32" s="298"/>
      <c r="K32" s="42"/>
      <c r="L32" s="42"/>
      <c r="M32" s="42"/>
      <c r="N32" s="42"/>
    </row>
    <row r="33" spans="2:14" x14ac:dyDescent="0.2">
      <c r="B33" s="302"/>
      <c r="C33" s="302"/>
      <c r="D33" s="297"/>
      <c r="E33" s="298"/>
      <c r="F33" s="297"/>
      <c r="G33" s="298"/>
      <c r="H33" s="297"/>
      <c r="I33" s="298"/>
      <c r="K33" s="42"/>
      <c r="L33" s="42"/>
      <c r="M33" s="42"/>
      <c r="N33" s="42"/>
    </row>
    <row r="34" spans="2:14" x14ac:dyDescent="0.2">
      <c r="B34" s="302"/>
      <c r="C34" s="302"/>
      <c r="D34" s="297"/>
      <c r="E34" s="298"/>
      <c r="F34" s="297"/>
      <c r="G34" s="298"/>
      <c r="H34" s="297"/>
      <c r="I34" s="298"/>
      <c r="K34" s="42"/>
      <c r="L34" s="42"/>
      <c r="M34" s="42"/>
      <c r="N34" s="42"/>
    </row>
    <row r="35" spans="2:14" x14ac:dyDescent="0.2">
      <c r="B35" s="303"/>
      <c r="C35" s="303"/>
      <c r="D35" s="299"/>
      <c r="E35" s="300"/>
      <c r="F35" s="299"/>
      <c r="G35" s="300"/>
      <c r="H35" s="299"/>
      <c r="I35" s="300"/>
      <c r="K35" s="42"/>
      <c r="L35" s="42"/>
      <c r="M35" s="42"/>
      <c r="N35" s="42"/>
    </row>
    <row r="36" spans="2:14" x14ac:dyDescent="0.2">
      <c r="B36" s="2"/>
      <c r="C36" s="2"/>
      <c r="D36" s="388"/>
      <c r="E36" s="389"/>
      <c r="F36" s="93"/>
      <c r="G36" s="94"/>
      <c r="H36" s="385"/>
      <c r="I36" s="386"/>
      <c r="K36" s="115"/>
      <c r="L36" s="42"/>
      <c r="M36" s="101"/>
      <c r="N36" s="42"/>
    </row>
    <row r="37" spans="2:14" x14ac:dyDescent="0.2">
      <c r="B37" s="2"/>
      <c r="C37" s="2"/>
      <c r="D37" s="388"/>
      <c r="E37" s="389"/>
      <c r="F37" s="385"/>
      <c r="G37" s="386"/>
      <c r="H37" s="385"/>
      <c r="I37" s="386"/>
      <c r="K37" s="115"/>
      <c r="L37" s="42"/>
      <c r="M37" s="101"/>
      <c r="N37" s="42"/>
    </row>
    <row r="38" spans="2:14" x14ac:dyDescent="0.2">
      <c r="B38" s="2">
        <v>1</v>
      </c>
      <c r="C38" s="2"/>
      <c r="D38" s="64" t="s">
        <v>596</v>
      </c>
      <c r="E38" s="64"/>
      <c r="F38" s="359"/>
      <c r="G38" s="361"/>
      <c r="H38" s="383">
        <f>K38</f>
        <v>0</v>
      </c>
      <c r="I38" s="384"/>
      <c r="K38" s="116">
        <f>'IC Aq'!J29</f>
        <v>0</v>
      </c>
      <c r="L38" s="42"/>
      <c r="M38" s="101" t="s">
        <v>596</v>
      </c>
      <c r="N38" s="42"/>
    </row>
    <row r="39" spans="2:14" x14ac:dyDescent="0.2">
      <c r="B39" s="2">
        <v>2</v>
      </c>
      <c r="C39" s="2"/>
      <c r="D39" s="388" t="s">
        <v>596</v>
      </c>
      <c r="E39" s="389"/>
      <c r="F39" s="387"/>
      <c r="G39" s="361"/>
      <c r="H39" s="383" t="e">
        <f>K39</f>
        <v>#REF!</v>
      </c>
      <c r="I39" s="384"/>
      <c r="K39" s="116" t="e">
        <f>'IC Aq'!#REF!</f>
        <v>#REF!</v>
      </c>
      <c r="L39" s="42"/>
      <c r="M39" s="101" t="s">
        <v>596</v>
      </c>
      <c r="N39" s="42"/>
    </row>
    <row r="40" spans="2:14" x14ac:dyDescent="0.2">
      <c r="B40" s="2"/>
      <c r="C40" s="2"/>
      <c r="D40" s="359"/>
      <c r="E40" s="361"/>
      <c r="F40" s="359"/>
      <c r="G40" s="361"/>
      <c r="H40" s="359"/>
      <c r="I40" s="361"/>
      <c r="K40" s="42"/>
      <c r="L40" s="42"/>
      <c r="M40" s="42"/>
      <c r="N40" s="42"/>
    </row>
    <row r="41" spans="2:14" x14ac:dyDescent="0.2">
      <c r="B41" s="2"/>
      <c r="C41" s="2"/>
      <c r="D41" s="359"/>
      <c r="E41" s="361"/>
      <c r="F41" s="359"/>
      <c r="G41" s="361"/>
      <c r="H41" s="359"/>
      <c r="I41" s="361"/>
      <c r="K41" s="42"/>
      <c r="L41" s="42"/>
      <c r="M41" s="42"/>
      <c r="N41" s="42"/>
    </row>
    <row r="42" spans="2:14" x14ac:dyDescent="0.2">
      <c r="B42" s="2"/>
      <c r="C42" s="2"/>
      <c r="D42" s="359"/>
      <c r="E42" s="361"/>
      <c r="F42" s="359"/>
      <c r="G42" s="361"/>
      <c r="H42" s="359"/>
      <c r="I42" s="361"/>
      <c r="K42" s="42"/>
      <c r="L42" s="42"/>
      <c r="M42" s="42"/>
      <c r="N42" s="42"/>
    </row>
    <row r="43" spans="2:14" x14ac:dyDescent="0.2">
      <c r="B43" s="2"/>
      <c r="C43" s="2"/>
      <c r="D43" s="359"/>
      <c r="E43" s="361"/>
      <c r="F43" s="359"/>
      <c r="G43" s="361"/>
      <c r="H43" s="359"/>
      <c r="I43" s="361"/>
      <c r="K43" s="42"/>
      <c r="L43" s="42"/>
      <c r="M43" s="42"/>
      <c r="N43" s="42"/>
    </row>
    <row r="44" spans="2:14" x14ac:dyDescent="0.2">
      <c r="B44" s="2"/>
      <c r="C44" s="2"/>
      <c r="D44" s="359"/>
      <c r="E44" s="361"/>
      <c r="F44" s="359"/>
      <c r="G44" s="361"/>
      <c r="H44" s="359"/>
      <c r="I44" s="361"/>
    </row>
    <row r="45" spans="2:14" x14ac:dyDescent="0.2">
      <c r="B45" s="2"/>
      <c r="C45" s="2"/>
      <c r="D45" s="359"/>
      <c r="E45" s="361"/>
      <c r="F45" s="359"/>
      <c r="G45" s="361"/>
      <c r="H45" s="359"/>
      <c r="I45" s="361"/>
    </row>
    <row r="46" spans="2:14" x14ac:dyDescent="0.2">
      <c r="B46" s="2"/>
      <c r="C46" s="2"/>
      <c r="D46" s="359"/>
      <c r="E46" s="361"/>
      <c r="F46" s="359"/>
      <c r="G46" s="361"/>
      <c r="H46" s="359"/>
      <c r="I46" s="361"/>
    </row>
    <row r="47" spans="2:14" x14ac:dyDescent="0.2">
      <c r="B47" s="2"/>
      <c r="C47" s="2"/>
      <c r="D47" s="359"/>
      <c r="E47" s="361"/>
      <c r="F47" s="359"/>
      <c r="G47" s="361"/>
      <c r="H47" s="359"/>
      <c r="I47" s="361"/>
    </row>
    <row r="48" spans="2:14" x14ac:dyDescent="0.2">
      <c r="B48" s="2"/>
      <c r="C48" s="2"/>
      <c r="D48" s="359"/>
      <c r="E48" s="361"/>
      <c r="F48" s="363"/>
      <c r="G48" s="364"/>
      <c r="H48" s="359"/>
      <c r="I48" s="361"/>
    </row>
    <row r="49" spans="2:9" x14ac:dyDescent="0.2">
      <c r="B49" s="2"/>
      <c r="C49" s="2"/>
      <c r="D49" s="359"/>
      <c r="E49" s="361"/>
      <c r="F49" s="359"/>
      <c r="G49" s="361"/>
      <c r="H49" s="359"/>
      <c r="I49" s="361"/>
    </row>
    <row r="50" spans="2:9" x14ac:dyDescent="0.2">
      <c r="B50" s="2"/>
      <c r="C50" s="2"/>
      <c r="D50" s="359"/>
      <c r="E50" s="361"/>
      <c r="F50" s="359"/>
      <c r="G50" s="361"/>
      <c r="H50" s="359"/>
      <c r="I50" s="361"/>
    </row>
    <row r="51" spans="2:9" x14ac:dyDescent="0.2">
      <c r="B51" s="2"/>
      <c r="C51" s="2"/>
      <c r="D51" s="359"/>
      <c r="E51" s="361"/>
      <c r="F51" s="359"/>
      <c r="G51" s="361"/>
      <c r="H51" s="359"/>
      <c r="I51" s="361"/>
    </row>
    <row r="52" spans="2:9" x14ac:dyDescent="0.2">
      <c r="B52" s="2"/>
      <c r="C52" s="2"/>
      <c r="D52" s="359"/>
      <c r="E52" s="361"/>
      <c r="F52" s="359"/>
      <c r="G52" s="361"/>
      <c r="H52" s="359"/>
      <c r="I52" s="361"/>
    </row>
    <row r="53" spans="2:9" x14ac:dyDescent="0.2">
      <c r="B53" s="2"/>
      <c r="C53" s="2"/>
      <c r="D53" s="359"/>
      <c r="E53" s="361"/>
      <c r="F53" s="359"/>
      <c r="G53" s="361"/>
      <c r="H53" s="359"/>
      <c r="I53" s="361"/>
    </row>
    <row r="54" spans="2:9" x14ac:dyDescent="0.2">
      <c r="B54" s="2"/>
      <c r="C54" s="2"/>
      <c r="D54" s="359"/>
      <c r="E54" s="361"/>
      <c r="F54" s="359"/>
      <c r="G54" s="361"/>
      <c r="H54" s="359"/>
      <c r="I54" s="361"/>
    </row>
    <row r="55" spans="2:9" x14ac:dyDescent="0.2">
      <c r="B55" s="2"/>
      <c r="C55" s="2"/>
      <c r="D55" s="359"/>
      <c r="E55" s="361"/>
      <c r="F55" s="359"/>
      <c r="G55" s="361"/>
      <c r="H55" s="359"/>
      <c r="I55" s="361"/>
    </row>
    <row r="56" spans="2:9" x14ac:dyDescent="0.2">
      <c r="B56" s="2"/>
      <c r="C56" s="2"/>
      <c r="D56" s="359"/>
      <c r="E56" s="361"/>
      <c r="F56" s="359"/>
      <c r="G56" s="361"/>
      <c r="H56" s="359"/>
      <c r="I56" s="361"/>
    </row>
    <row r="57" spans="2:9" x14ac:dyDescent="0.2">
      <c r="B57" s="2"/>
      <c r="C57" s="2"/>
      <c r="D57" s="359"/>
      <c r="E57" s="361"/>
      <c r="F57" s="359"/>
      <c r="G57" s="361"/>
      <c r="H57" s="359"/>
      <c r="I57" s="361"/>
    </row>
    <row r="58" spans="2:9" x14ac:dyDescent="0.2">
      <c r="B58" s="2"/>
      <c r="C58" s="2"/>
      <c r="D58" s="359"/>
      <c r="E58" s="361"/>
      <c r="F58" s="359"/>
      <c r="G58" s="361"/>
      <c r="H58" s="359"/>
      <c r="I58" s="361"/>
    </row>
    <row r="59" spans="2:9" x14ac:dyDescent="0.2">
      <c r="B59" s="2"/>
      <c r="C59" s="2"/>
      <c r="D59" s="359"/>
      <c r="E59" s="361"/>
      <c r="F59" s="359"/>
      <c r="G59" s="361"/>
      <c r="H59" s="359"/>
      <c r="I59" s="361"/>
    </row>
    <row r="60" spans="2:9" x14ac:dyDescent="0.2">
      <c r="B60" s="2"/>
      <c r="C60" s="2"/>
      <c r="D60" s="359"/>
      <c r="E60" s="361"/>
      <c r="F60" s="359"/>
      <c r="G60" s="361"/>
      <c r="H60" s="359"/>
      <c r="I60" s="361"/>
    </row>
    <row r="61" spans="2:9" x14ac:dyDescent="0.2">
      <c r="B61" s="362" t="str">
        <f>INDEX(PRIJEVODI!B:D,MATCH("PDV-S-015",PRIJEVODI!A:A,0),MATCH(NASLOV!$B$2,PRIJEVODI!$B$1:$D$1,0))</f>
        <v>Gesamtwert</v>
      </c>
      <c r="C61" s="272"/>
      <c r="D61" s="272"/>
      <c r="E61" s="278"/>
      <c r="F61" s="381">
        <f>+F36</f>
        <v>0</v>
      </c>
      <c r="G61" s="278"/>
      <c r="H61" s="381">
        <f>+H37+H38</f>
        <v>0</v>
      </c>
      <c r="I61" s="278"/>
    </row>
    <row r="62" spans="2:9" x14ac:dyDescent="0.2">
      <c r="B62" s="274"/>
      <c r="C62" s="275"/>
      <c r="D62" s="275"/>
      <c r="E62" s="276"/>
      <c r="F62" s="274"/>
      <c r="G62" s="276"/>
      <c r="H62" s="274"/>
      <c r="I62" s="276"/>
    </row>
    <row r="70" spans="2:14" x14ac:dyDescent="0.2">
      <c r="B70" s="263" t="str">
        <f>INDEX(PRIJEVODI!B:D,MATCH("PDV-S-016",PRIJEVODI!A:A,0),MATCH(NASLOV!$B$2,PRIJEVODI!$B$1:$D$1,0))</f>
        <v>Hiermit bestätige ich die Richtigkeit der genannten Daten</v>
      </c>
      <c r="C70" s="322"/>
      <c r="D70" s="322"/>
      <c r="E70" s="322"/>
      <c r="F70" s="322"/>
      <c r="G70" s="322"/>
      <c r="H70" s="323"/>
      <c r="J70" s="263" t="str">
        <f>INDEX(PRIJEVODI!B:D,MATCH("PDV-S-018",PRIJEVODI!A:A,0),MATCH(NASLOV!$B$2,PRIJEVODI!$B$1:$D$1,0))</f>
        <v>Unterschrift     (16)</v>
      </c>
      <c r="K70" s="323"/>
      <c r="L70" s="263"/>
      <c r="M70" s="322"/>
      <c r="N70" s="323"/>
    </row>
    <row r="71" spans="2:14" x14ac:dyDescent="0.2">
      <c r="B71" s="265"/>
      <c r="C71" s="326"/>
      <c r="D71" s="326"/>
      <c r="E71" s="326"/>
      <c r="F71" s="326"/>
      <c r="G71" s="326"/>
      <c r="H71" s="327"/>
      <c r="J71" s="265"/>
      <c r="K71" s="327"/>
      <c r="L71" s="265"/>
      <c r="M71" s="326"/>
      <c r="N71" s="327"/>
    </row>
    <row r="72" spans="2:14" x14ac:dyDescent="0.2">
      <c r="B72" s="369" t="str">
        <f>INDEX(PRIJEVODI!B:D,MATCH("PDV-S-017",PRIJEVODI!A:A,0),MATCH(NASLOV!$B$2,PRIJEVODI!$B$1:$D$1,0))</f>
        <v>Berechnung verfasst von (Name und Nachname)  (15)</v>
      </c>
      <c r="C72" s="370"/>
      <c r="D72" s="371"/>
      <c r="E72" s="263" t="s">
        <v>568</v>
      </c>
      <c r="F72" s="322"/>
      <c r="G72" s="322"/>
      <c r="H72" s="323"/>
      <c r="J72" s="295" t="str">
        <f>INDEX(PRIJEVODI!B:D,MATCH("PDV-S-019",PRIJEVODI!A:A,0),MATCH(NASLOV!$B$2,PRIJEVODI!$B$1:$D$1,0))</f>
        <v>Telefonnummer / Fax /E-Mail  (17)</v>
      </c>
      <c r="K72" s="296"/>
      <c r="L72" s="356" t="s">
        <v>569</v>
      </c>
      <c r="M72" s="357"/>
      <c r="N72" s="296"/>
    </row>
    <row r="73" spans="2:14" ht="24" customHeight="1" x14ac:dyDescent="0.2">
      <c r="B73" s="372"/>
      <c r="C73" s="373"/>
      <c r="D73" s="374"/>
      <c r="E73" s="265"/>
      <c r="F73" s="326"/>
      <c r="G73" s="326"/>
      <c r="H73" s="327"/>
      <c r="J73" s="299"/>
      <c r="K73" s="300"/>
      <c r="L73" s="299"/>
      <c r="M73" s="358"/>
      <c r="N73" s="300"/>
    </row>
  </sheetData>
  <mergeCells count="104">
    <mergeCell ref="H43:I43"/>
    <mergeCell ref="F44:G44"/>
    <mergeCell ref="H44:I44"/>
    <mergeCell ref="F43:G43"/>
    <mergeCell ref="D45:E45"/>
    <mergeCell ref="D46:E46"/>
    <mergeCell ref="D47:E47"/>
    <mergeCell ref="B6:C8"/>
    <mergeCell ref="D6:E8"/>
    <mergeCell ref="B9:C11"/>
    <mergeCell ref="D9:E11"/>
    <mergeCell ref="D40:E40"/>
    <mergeCell ref="D36:E36"/>
    <mergeCell ref="D37:E37"/>
    <mergeCell ref="D39:E39"/>
    <mergeCell ref="C26:C35"/>
    <mergeCell ref="D26:E35"/>
    <mergeCell ref="D42:E42"/>
    <mergeCell ref="D43:E43"/>
    <mergeCell ref="D44:E44"/>
    <mergeCell ref="D60:E60"/>
    <mergeCell ref="B61:E62"/>
    <mergeCell ref="F26:G35"/>
    <mergeCell ref="H26:I35"/>
    <mergeCell ref="F37:G37"/>
    <mergeCell ref="F38:G38"/>
    <mergeCell ref="D54:E54"/>
    <mergeCell ref="D55:E55"/>
    <mergeCell ref="D56:E56"/>
    <mergeCell ref="D57:E57"/>
    <mergeCell ref="D58:E58"/>
    <mergeCell ref="D59:E59"/>
    <mergeCell ref="D48:E48"/>
    <mergeCell ref="D49:E49"/>
    <mergeCell ref="D41:E41"/>
    <mergeCell ref="B26:B35"/>
    <mergeCell ref="F39:G39"/>
    <mergeCell ref="H39:I39"/>
    <mergeCell ref="F40:G40"/>
    <mergeCell ref="H40:I40"/>
    <mergeCell ref="F41:G41"/>
    <mergeCell ref="H41:I41"/>
    <mergeCell ref="F46:G46"/>
    <mergeCell ref="H46:I46"/>
    <mergeCell ref="F56:G56"/>
    <mergeCell ref="H56:I56"/>
    <mergeCell ref="H51:I51"/>
    <mergeCell ref="H52:I52"/>
    <mergeCell ref="I3:K4"/>
    <mergeCell ref="G6:H7"/>
    <mergeCell ref="I6:I7"/>
    <mergeCell ref="J6:K7"/>
    <mergeCell ref="G8:H10"/>
    <mergeCell ref="I8:K10"/>
    <mergeCell ref="G11:H12"/>
    <mergeCell ref="I11:K12"/>
    <mergeCell ref="G13:H14"/>
    <mergeCell ref="I13:I14"/>
    <mergeCell ref="F45:G45"/>
    <mergeCell ref="H45:I45"/>
    <mergeCell ref="F49:G49"/>
    <mergeCell ref="H38:I38"/>
    <mergeCell ref="H36:I36"/>
    <mergeCell ref="H37:I37"/>
    <mergeCell ref="F47:G47"/>
    <mergeCell ref="H47:I47"/>
    <mergeCell ref="F42:G42"/>
    <mergeCell ref="H42:I42"/>
    <mergeCell ref="L70:N71"/>
    <mergeCell ref="J72:K73"/>
    <mergeCell ref="L72:N73"/>
    <mergeCell ref="J13:K14"/>
    <mergeCell ref="B20:I23"/>
    <mergeCell ref="B70:H71"/>
    <mergeCell ref="F60:G60"/>
    <mergeCell ref="H60:I60"/>
    <mergeCell ref="F61:G62"/>
    <mergeCell ref="H61:I62"/>
    <mergeCell ref="F57:G57"/>
    <mergeCell ref="H57:I57"/>
    <mergeCell ref="F58:G58"/>
    <mergeCell ref="H58:I58"/>
    <mergeCell ref="F59:G59"/>
    <mergeCell ref="H59:I59"/>
    <mergeCell ref="F48:G48"/>
    <mergeCell ref="B72:D73"/>
    <mergeCell ref="E72:H73"/>
    <mergeCell ref="J70:K71"/>
    <mergeCell ref="H53:I53"/>
    <mergeCell ref="H48:I48"/>
    <mergeCell ref="H49:I49"/>
    <mergeCell ref="H50:I50"/>
    <mergeCell ref="D50:E50"/>
    <mergeCell ref="D51:E51"/>
    <mergeCell ref="D52:E52"/>
    <mergeCell ref="D53:E53"/>
    <mergeCell ref="F54:G54"/>
    <mergeCell ref="H54:I54"/>
    <mergeCell ref="F55:G55"/>
    <mergeCell ref="H55:I55"/>
    <mergeCell ref="F53:G53"/>
    <mergeCell ref="F52:G52"/>
    <mergeCell ref="F51:G51"/>
    <mergeCell ref="F50:G50"/>
  </mergeCells>
  <hyperlinks>
    <hyperlink ref="L72" r:id="rId1"/>
  </hyperlinks>
  <pageMargins left="0.70866141732283472" right="0.70866141732283472" top="0.74803149606299213" bottom="0.74803149606299213" header="0.31496062992125984" footer="0.31496062992125984"/>
  <pageSetup paperSize="9" scale="53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workbookViewId="0">
      <selection activeCell="B5" sqref="B5"/>
    </sheetView>
  </sheetViews>
  <sheetFormatPr baseColWidth="10" defaultColWidth="9" defaultRowHeight="12.75" x14ac:dyDescent="0.2"/>
  <sheetData>
    <row r="1" spans="1:2" ht="15" x14ac:dyDescent="0.25">
      <c r="A1" s="105" t="s">
        <v>592</v>
      </c>
      <c r="B1" s="105" t="s">
        <v>593</v>
      </c>
    </row>
    <row r="2" spans="1:2" ht="15" x14ac:dyDescent="0.25">
      <c r="A2" s="106">
        <v>44044</v>
      </c>
      <c r="B2" s="105">
        <v>7.4844850000000003</v>
      </c>
    </row>
    <row r="3" spans="1:2" ht="15" x14ac:dyDescent="0.25">
      <c r="A3" s="106">
        <v>44045</v>
      </c>
      <c r="B3" s="105">
        <v>7.4844850000000003</v>
      </c>
    </row>
    <row r="4" spans="1:2" ht="15" x14ac:dyDescent="0.25">
      <c r="A4" s="106">
        <v>44046</v>
      </c>
      <c r="B4" s="105">
        <v>7.4844850000000003</v>
      </c>
    </row>
    <row r="5" spans="1:2" ht="15" x14ac:dyDescent="0.25">
      <c r="A5" s="106">
        <v>44047</v>
      </c>
      <c r="B5" s="105">
        <v>7.4804599999999999</v>
      </c>
    </row>
    <row r="6" spans="1:2" ht="15" x14ac:dyDescent="0.25">
      <c r="A6" s="106">
        <v>44048</v>
      </c>
      <c r="B6" s="105">
        <v>7.4696179999999996</v>
      </c>
    </row>
    <row r="7" spans="1:2" ht="15" x14ac:dyDescent="0.25">
      <c r="A7" s="106">
        <v>44049</v>
      </c>
      <c r="B7" s="105">
        <v>7.4696179999999996</v>
      </c>
    </row>
    <row r="8" spans="1:2" ht="15" x14ac:dyDescent="0.25">
      <c r="A8" s="106">
        <v>44050</v>
      </c>
      <c r="B8" s="105">
        <v>7.4676099999999996</v>
      </c>
    </row>
    <row r="9" spans="1:2" ht="15" x14ac:dyDescent="0.25">
      <c r="A9" s="106">
        <v>44051</v>
      </c>
      <c r="B9" s="105">
        <v>7.4619070000000001</v>
      </c>
    </row>
    <row r="10" spans="1:2" ht="15" x14ac:dyDescent="0.25">
      <c r="A10" s="106">
        <v>44052</v>
      </c>
      <c r="B10" s="105">
        <v>7.4619070000000001</v>
      </c>
    </row>
    <row r="11" spans="1:2" ht="15" x14ac:dyDescent="0.25">
      <c r="A11" s="106">
        <v>44053</v>
      </c>
      <c r="B11" s="105">
        <v>7.4619070000000001</v>
      </c>
    </row>
    <row r="12" spans="1:2" ht="15" x14ac:dyDescent="0.25">
      <c r="A12" s="106">
        <v>44054</v>
      </c>
      <c r="B12" s="105">
        <v>7.4572430000000001</v>
      </c>
    </row>
    <row r="13" spans="1:2" ht="15" x14ac:dyDescent="0.25">
      <c r="A13" s="106">
        <v>44055</v>
      </c>
      <c r="B13" s="105">
        <v>7.4639470000000001</v>
      </c>
    </row>
    <row r="14" spans="1:2" ht="15" x14ac:dyDescent="0.25">
      <c r="A14" s="106">
        <v>44056</v>
      </c>
      <c r="B14" s="105">
        <v>7.4771850000000004</v>
      </c>
    </row>
    <row r="15" spans="1:2" ht="15" x14ac:dyDescent="0.25">
      <c r="A15" s="106">
        <v>44057</v>
      </c>
      <c r="B15" s="105">
        <v>7.4775299999999998</v>
      </c>
    </row>
    <row r="16" spans="1:2" ht="15" x14ac:dyDescent="0.25">
      <c r="A16" s="106">
        <v>44058</v>
      </c>
      <c r="B16" s="105">
        <v>7.4989460000000001</v>
      </c>
    </row>
    <row r="17" spans="1:2" ht="15" x14ac:dyDescent="0.25">
      <c r="A17" s="106">
        <v>44059</v>
      </c>
      <c r="B17" s="105">
        <v>7.4989460000000001</v>
      </c>
    </row>
    <row r="18" spans="1:2" ht="15" x14ac:dyDescent="0.25">
      <c r="A18" s="106">
        <v>44060</v>
      </c>
      <c r="B18" s="105">
        <v>7.4989460000000001</v>
      </c>
    </row>
    <row r="19" spans="1:2" ht="15" x14ac:dyDescent="0.25">
      <c r="A19" s="106">
        <v>44061</v>
      </c>
      <c r="B19" s="105">
        <v>7.5233439999999998</v>
      </c>
    </row>
    <row r="20" spans="1:2" ht="15" x14ac:dyDescent="0.25">
      <c r="A20" s="106">
        <v>44062</v>
      </c>
      <c r="B20" s="105">
        <v>7.520359</v>
      </c>
    </row>
    <row r="21" spans="1:2" ht="15" x14ac:dyDescent="0.25">
      <c r="A21" s="106">
        <v>44063</v>
      </c>
      <c r="B21" s="105">
        <v>7.5247999999999999</v>
      </c>
    </row>
    <row r="22" spans="1:2" ht="15" x14ac:dyDescent="0.25">
      <c r="A22" s="106">
        <v>44064</v>
      </c>
      <c r="B22" s="105">
        <v>7.5261110000000002</v>
      </c>
    </row>
    <row r="23" spans="1:2" ht="15" x14ac:dyDescent="0.25">
      <c r="A23" s="106">
        <v>44065</v>
      </c>
      <c r="B23" s="105">
        <v>7.5255679999999998</v>
      </c>
    </row>
    <row r="24" spans="1:2" ht="15" x14ac:dyDescent="0.25">
      <c r="A24" s="106">
        <v>44066</v>
      </c>
      <c r="B24" s="105">
        <v>7.5255679999999998</v>
      </c>
    </row>
    <row r="25" spans="1:2" ht="15" x14ac:dyDescent="0.25">
      <c r="A25" s="106">
        <v>44067</v>
      </c>
      <c r="B25" s="105">
        <v>7.5255679999999998</v>
      </c>
    </row>
    <row r="26" spans="1:2" ht="15" x14ac:dyDescent="0.25">
      <c r="A26" s="106">
        <v>44068</v>
      </c>
      <c r="B26" s="105">
        <v>7.521439</v>
      </c>
    </row>
    <row r="27" spans="1:2" ht="15" x14ac:dyDescent="0.25">
      <c r="A27" s="106">
        <v>44069</v>
      </c>
      <c r="B27" s="105">
        <v>7.5273529999999997</v>
      </c>
    </row>
    <row r="28" spans="1:2" ht="15" x14ac:dyDescent="0.25">
      <c r="A28" s="106">
        <v>44070</v>
      </c>
      <c r="B28" s="105">
        <v>7.5241870000000004</v>
      </c>
    </row>
    <row r="29" spans="1:2" ht="15" x14ac:dyDescent="0.25">
      <c r="A29" s="106">
        <v>44071</v>
      </c>
      <c r="B29" s="105">
        <v>7.5210140000000001</v>
      </c>
    </row>
    <row r="30" spans="1:2" ht="15" x14ac:dyDescent="0.25">
      <c r="A30" s="106">
        <v>44072</v>
      </c>
      <c r="B30" s="105">
        <v>7.5191929999999996</v>
      </c>
    </row>
    <row r="31" spans="1:2" ht="15" x14ac:dyDescent="0.25">
      <c r="A31" s="106">
        <v>44073</v>
      </c>
      <c r="B31" s="105">
        <v>7.5191929999999996</v>
      </c>
    </row>
    <row r="32" spans="1:2" ht="15" x14ac:dyDescent="0.25">
      <c r="A32" s="106">
        <v>44074</v>
      </c>
      <c r="B32" s="105">
        <v>7.5191929999999996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F11"/>
  <sheetViews>
    <sheetView workbookViewId="0">
      <selection activeCell="C27" sqref="C27"/>
    </sheetView>
  </sheetViews>
  <sheetFormatPr baseColWidth="10" defaultColWidth="9" defaultRowHeight="12.75" x14ac:dyDescent="0.2"/>
  <cols>
    <col min="3" max="3" width="34.75" bestFit="1" customWidth="1"/>
    <col min="4" max="4" width="56.75" bestFit="1" customWidth="1"/>
  </cols>
  <sheetData>
    <row r="2" spans="1:6" x14ac:dyDescent="0.2">
      <c r="A2" t="s">
        <v>598</v>
      </c>
    </row>
    <row r="3" spans="1:6" x14ac:dyDescent="0.2">
      <c r="B3" t="s">
        <v>599</v>
      </c>
      <c r="C3" t="s">
        <v>600</v>
      </c>
      <c r="D3" t="s">
        <v>601</v>
      </c>
      <c r="E3" t="s">
        <v>581</v>
      </c>
      <c r="F3" t="s">
        <v>597</v>
      </c>
    </row>
    <row r="4" spans="1:6" x14ac:dyDescent="0.2">
      <c r="B4" s="111"/>
    </row>
    <row r="5" spans="1:6" x14ac:dyDescent="0.2">
      <c r="B5" s="111"/>
    </row>
    <row r="6" spans="1:6" x14ac:dyDescent="0.2">
      <c r="B6" s="111"/>
    </row>
    <row r="7" spans="1:6" x14ac:dyDescent="0.2">
      <c r="B7" s="111"/>
    </row>
    <row r="8" spans="1:6" x14ac:dyDescent="0.2">
      <c r="B8" s="111"/>
    </row>
    <row r="9" spans="1:6" x14ac:dyDescent="0.2">
      <c r="B9" s="111"/>
    </row>
    <row r="10" spans="1:6" x14ac:dyDescent="0.2">
      <c r="A10" s="110"/>
      <c r="B10" s="111"/>
    </row>
    <row r="11" spans="1:6" x14ac:dyDescent="0.2">
      <c r="B11" s="1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5"/>
  <sheetViews>
    <sheetView zoomScale="130" zoomScaleNormal="130" workbookViewId="0">
      <selection activeCell="E18" sqref="E18"/>
    </sheetView>
  </sheetViews>
  <sheetFormatPr baseColWidth="10" defaultColWidth="9" defaultRowHeight="12.75" x14ac:dyDescent="0.2"/>
  <cols>
    <col min="1" max="1" width="24.125" customWidth="1"/>
    <col min="2" max="2" width="38.75" bestFit="1" customWidth="1"/>
    <col min="3" max="3" width="12.5" customWidth="1"/>
  </cols>
  <sheetData>
    <row r="2" spans="1:4" x14ac:dyDescent="0.2">
      <c r="A2" s="40" t="s">
        <v>138</v>
      </c>
      <c r="B2" s="40" t="s">
        <v>127</v>
      </c>
    </row>
    <row r="5" spans="1:4" x14ac:dyDescent="0.2">
      <c r="A5" t="str">
        <f>INDEX(PRIJEVODI!B:D,MATCH("NAS-001",PRIJEVODI!A:A,0),MATCH(NASLOV!$B$2,PRIJEVODI!$B$1:$D$1,0))</f>
        <v>Firmenname:</v>
      </c>
      <c r="B5" t="s">
        <v>582</v>
      </c>
    </row>
    <row r="7" spans="1:4" x14ac:dyDescent="0.2">
      <c r="A7" t="str">
        <f>INDEX(PRIJEVODI!B:D,MATCH("NAS-002",PRIJEVODI!A:A,0),MATCH(NASLOV!$B$2,PRIJEVODI!$B$1:$D$1,0))</f>
        <v>Adresse:</v>
      </c>
      <c r="B7" t="s">
        <v>583</v>
      </c>
    </row>
    <row r="9" spans="1:4" x14ac:dyDescent="0.2">
      <c r="A9" t="str">
        <f>INDEX(PRIJEVODI!B:D,MATCH("NAS-003",PRIJEVODI!A:A,0),MATCH(NASLOV!$B$2,PRIJEVODI!$B$1:$D$1,0))</f>
        <v>STEUERNUMMER (UID):</v>
      </c>
      <c r="B9" t="s">
        <v>584</v>
      </c>
    </row>
    <row r="11" spans="1:4" x14ac:dyDescent="0.2">
      <c r="A11" t="str">
        <f>INDEX(PRIJEVODI!B:D,MATCH("NAS-004",PRIJEVODI!A:A,0),MATCH(NASLOV!$B$2,PRIJEVODI!$B$1:$D$1,0))</f>
        <v>NKD:</v>
      </c>
    </row>
    <row r="12" spans="1:4" x14ac:dyDescent="0.2">
      <c r="B12" t="str">
        <f>INDEX(PRIJEVODI!B:D,MATCH("NAS-007",PRIJEVODI!A:A,0),MATCH(NASLOV!$B$2,PRIJEVODI!$B$1:$D$1,0))</f>
        <v>von:</v>
      </c>
      <c r="C12" t="str">
        <f>INDEX(PRIJEVODI!B:D,MATCH("NAS-008",PRIJEVODI!A:A,0),MATCH(NASLOV!$B$2,PRIJEVODI!$B$1:$D$1,0))</f>
        <v>bis:</v>
      </c>
      <c r="D12" t="str">
        <f>INDEX(PRIJEVODI!B:D,MATCH("NAS-009",PRIJEVODI!A:A,0),MATCH(NASLOV!$B$2,PRIJEVODI!$B$1:$D$1,0))</f>
        <v>Jahr:</v>
      </c>
    </row>
    <row r="13" spans="1:4" x14ac:dyDescent="0.2">
      <c r="A13" t="str">
        <f>INDEX(PRIJEVODI!B:D,MATCH("NAS-005",PRIJEVODI!A:A,0),MATCH(NASLOV!$B$2,PRIJEVODI!$B$1:$D$1,0))</f>
        <v>Zeitraum:</v>
      </c>
      <c r="B13" s="51" t="s">
        <v>585</v>
      </c>
      <c r="C13" s="51" t="s">
        <v>586</v>
      </c>
      <c r="D13">
        <v>2020</v>
      </c>
    </row>
    <row r="15" spans="1:4" x14ac:dyDescent="0.2">
      <c r="A15" t="str">
        <f>INDEX(PRIJEVODI!B:D,MATCH("NAS-006",PRIJEVODI!A:A,0),MATCH(NASLOV!$B$2,PRIJEVODI!$B$1:$D$1,0))</f>
        <v>Zuständiges Finanzamt:</v>
      </c>
      <c r="B15" t="s">
        <v>575</v>
      </c>
    </row>
  </sheetData>
  <dataValidations count="1">
    <dataValidation type="list" allowBlank="1" showInputMessage="1" showErrorMessage="1" sqref="B2">
      <formula1>"HRV, ENG, DE"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102"/>
  <sheetViews>
    <sheetView showZeros="0" view="pageBreakPreview" topLeftCell="A47" zoomScale="86" zoomScaleNormal="85" zoomScaleSheetLayoutView="86" workbookViewId="0">
      <selection activeCell="E89" sqref="E89"/>
    </sheetView>
  </sheetViews>
  <sheetFormatPr baseColWidth="10" defaultColWidth="9" defaultRowHeight="12.75" x14ac:dyDescent="0.2"/>
  <cols>
    <col min="1" max="1" width="3.5" customWidth="1"/>
    <col min="3" max="3" width="16" customWidth="1"/>
    <col min="4" max="4" width="11.75" customWidth="1"/>
    <col min="5" max="5" width="31" customWidth="1"/>
    <col min="6" max="6" width="39.75" customWidth="1"/>
    <col min="7" max="7" width="19.5" customWidth="1"/>
    <col min="8" max="8" width="29" customWidth="1"/>
    <col min="9" max="9" width="8.875" customWidth="1"/>
    <col min="11" max="11" width="8.125" customWidth="1"/>
    <col min="12" max="12" width="6.625" customWidth="1"/>
    <col min="13" max="13" width="10.25" customWidth="1"/>
    <col min="16" max="16" width="6.25" customWidth="1"/>
    <col min="17" max="17" width="31.875" bestFit="1" customWidth="1"/>
    <col min="18" max="18" width="14.25" customWidth="1"/>
    <col min="19" max="19" width="11.75" customWidth="1"/>
    <col min="20" max="20" width="7.25" customWidth="1"/>
    <col min="21" max="21" width="12.375" customWidth="1"/>
    <col min="22" max="22" width="10.875" customWidth="1"/>
    <col min="23" max="23" width="11.125" customWidth="1"/>
    <col min="24" max="24" width="12" customWidth="1"/>
  </cols>
  <sheetData>
    <row r="1" spans="1:23" x14ac:dyDescent="0.2">
      <c r="A1" s="281" t="str">
        <f>NASLOV!B5</f>
        <v>Markus Renz</v>
      </c>
      <c r="B1" s="281"/>
      <c r="C1" s="281"/>
      <c r="D1" s="281"/>
      <c r="E1" s="281"/>
      <c r="F1" s="281"/>
    </row>
    <row r="2" spans="1:23" x14ac:dyDescent="0.2">
      <c r="A2" s="281"/>
      <c r="B2" s="281"/>
      <c r="C2" s="281"/>
      <c r="D2" s="281"/>
      <c r="E2" s="281"/>
      <c r="F2" s="281"/>
      <c r="U2" s="259"/>
      <c r="V2" s="259"/>
      <c r="W2" s="22"/>
    </row>
    <row r="3" spans="1:23" x14ac:dyDescent="0.2">
      <c r="C3" s="259" t="str">
        <f>INDEX(PRIJEVODI!B:D,MATCH("IRA-001",PRIJEVODI!A:A,0),MATCH(NASLOV!$B$2,PRIJEVODI!$B$1:$D$1,0))</f>
        <v>STEUERPFLICHTIGER: TITEL /NAME UND NACHNAME</v>
      </c>
      <c r="D3" s="259"/>
      <c r="E3" s="259"/>
      <c r="F3" s="259"/>
    </row>
    <row r="4" spans="1:23" x14ac:dyDescent="0.2">
      <c r="C4" s="280" t="str">
        <f>NASLOV!B7</f>
        <v>Am Sonnblick 6, Lichtenau</v>
      </c>
      <c r="D4" s="280"/>
      <c r="E4" s="280"/>
      <c r="F4" s="280"/>
    </row>
    <row r="5" spans="1:23" x14ac:dyDescent="0.2">
      <c r="C5" s="280"/>
      <c r="D5" s="280"/>
      <c r="E5" s="280"/>
      <c r="F5" s="280"/>
    </row>
    <row r="6" spans="1:23" x14ac:dyDescent="0.2">
      <c r="C6" s="259" t="str">
        <f>INDEX(PRIJEVODI!B:D,MATCH("IRA-002",PRIJEVODI!A:A,0),MATCH(NASLOV!$B$2,PRIJEVODI!$B$1:$D$1,0))</f>
        <v>ADRESSE: ORT, STRASSE UND HAUSNUMMER</v>
      </c>
      <c r="D6" s="259"/>
      <c r="E6" s="259"/>
      <c r="F6" s="259"/>
    </row>
    <row r="7" spans="1:23" x14ac:dyDescent="0.2">
      <c r="C7" s="282"/>
      <c r="D7" s="282"/>
      <c r="E7" s="282"/>
      <c r="F7" s="282"/>
    </row>
    <row r="8" spans="1:23" x14ac:dyDescent="0.2">
      <c r="C8" s="282"/>
      <c r="D8" s="282"/>
      <c r="E8" s="282"/>
      <c r="F8" s="282"/>
    </row>
    <row r="9" spans="1:23" x14ac:dyDescent="0.2">
      <c r="C9" s="259" t="str">
        <f>INDEX(PRIJEVODI!B:D,MATCH("IRA-003",PRIJEVODI!A:A,0),MATCH(NASLOV!$B$2,PRIJEVODI!$B$1:$D$1,0))</f>
        <v>NUMMERIERUNG GEMÄSS DEM NATIONALEN KLASSIFIZIERUNGSSYSTEM</v>
      </c>
      <c r="D9" s="259"/>
      <c r="E9" s="259"/>
      <c r="F9" s="259"/>
    </row>
    <row r="10" spans="1:23" x14ac:dyDescent="0.2">
      <c r="C10" s="259"/>
      <c r="D10" s="259"/>
      <c r="E10" s="259"/>
      <c r="F10" s="259"/>
    </row>
    <row r="11" spans="1:23" x14ac:dyDescent="0.2">
      <c r="C11" s="280" t="str">
        <f>NASLOV!B9</f>
        <v>HR6411581446</v>
      </c>
      <c r="D11" s="280"/>
      <c r="E11" s="280"/>
      <c r="F11" s="280"/>
    </row>
    <row r="12" spans="1:23" x14ac:dyDescent="0.2">
      <c r="C12" s="280"/>
      <c r="D12" s="280"/>
      <c r="E12" s="280"/>
      <c r="F12" s="280"/>
    </row>
    <row r="13" spans="1:23" x14ac:dyDescent="0.2">
      <c r="C13" s="259" t="str">
        <f>INDEX(PRIJEVODI!B:D,MATCH("IRA-004",PRIJEVODI!A:A,0),MATCH(NASLOV!$B$2,PRIJEVODI!$B$1:$D$1,0))</f>
        <v>STEUERNUMMER (UID)</v>
      </c>
      <c r="D13" s="259"/>
      <c r="E13" s="259"/>
      <c r="F13" s="259"/>
    </row>
    <row r="15" spans="1:23" x14ac:dyDescent="0.2">
      <c r="G15" s="306" t="str">
        <f>INDEX(PRIJEVODI!B:D,MATCH("IRA-005",PRIJEVODI!A:A,0),MATCH(NASLOV!$B$2,PRIJEVODI!$B$1:$D$1,0))</f>
        <v>AUSGANGSRECHNUNGSBUCH</v>
      </c>
      <c r="H15" s="267"/>
      <c r="I15" s="267"/>
      <c r="J15" s="267"/>
      <c r="K15" s="267"/>
      <c r="M15" s="279" t="s">
        <v>591</v>
      </c>
      <c r="N15" s="279"/>
      <c r="O15" s="279"/>
      <c r="P15" s="266"/>
      <c r="Q15" s="266"/>
      <c r="R15" s="266"/>
    </row>
    <row r="16" spans="1:23" x14ac:dyDescent="0.2">
      <c r="G16" s="267"/>
      <c r="H16" s="267"/>
      <c r="I16" s="267"/>
      <c r="J16" s="267"/>
      <c r="K16" s="267"/>
      <c r="M16" s="279"/>
      <c r="N16" s="279"/>
      <c r="O16" s="279"/>
      <c r="P16" s="266"/>
      <c r="Q16" s="266"/>
      <c r="R16" s="266"/>
    </row>
    <row r="17" spans="2:24" x14ac:dyDescent="0.2">
      <c r="T17" s="267" t="str">
        <f>INDEX(PRIJEVODI!B:D,MATCH("IRA-006",PRIJEVODI!A:A,0),MATCH(NASLOV!$B$2,PRIJEVODI!$B$1:$D$1,0))</f>
        <v>BETRAG IN KUNA UND LIPA</v>
      </c>
      <c r="U17" s="267"/>
      <c r="V17" s="267"/>
      <c r="W17" s="267"/>
    </row>
    <row r="18" spans="2:24" x14ac:dyDescent="0.2">
      <c r="X18" s="68"/>
    </row>
    <row r="19" spans="2:24" x14ac:dyDescent="0.2">
      <c r="B19" s="283" t="str">
        <f>INDEX(PRIJEVODI!B:D,MATCH("IRA-007",PRIJEVODI!A:A,0),MATCH(NASLOV!$B$2,PRIJEVODI!$B$1:$D$1,0))</f>
        <v xml:space="preserve">ORDNUNGSNUMMER </v>
      </c>
      <c r="C19" s="271" t="str">
        <f>INDEX(PRIJEVODI!B:D,MATCH("IRA-008",PRIJEVODI!A:A,0),MATCH(NASLOV!$B$2,PRIJEVODI!$B$1:$D$1,0))</f>
        <v>RECHNUNG</v>
      </c>
      <c r="D19" s="286"/>
      <c r="E19" s="289" t="str">
        <f>INDEX(PRIJEVODI!B:D,MATCH("IRA-011",PRIJEVODI!A:A,0),MATCH(NASLOV!$B$2,PRIJEVODI!$B$1:$D$1,0))</f>
        <v>KUNDE (EMPFÄNGER VON GÜTERN ODER DIENSTLEISTUNGEN)</v>
      </c>
      <c r="F19" s="290"/>
      <c r="G19" s="291"/>
      <c r="H19" s="313" t="str">
        <f>INDEX(PRIJEVODI!B:D,MATCH("IRA-014",PRIJEVODI!A:A,0),MATCH(NASLOV!$B$2,PRIJEVODI!$B$1:$D$1,0))</f>
        <v>BETRAG (inklusive Mehrwertsteuern)</v>
      </c>
      <c r="I19" s="271" t="str">
        <f>INDEX(PRIJEVODI!B:D,MATCH("IRA-015",PRIJEVODI!A:A,0),MATCH(NASLOV!$B$2,PRIJEVODI!$B$1:$D$1,0))</f>
        <v xml:space="preserve">STEUER- UND MEHRWERTSTERERFREIE ERTRÄGE </v>
      </c>
      <c r="J19" s="272"/>
      <c r="K19" s="272"/>
      <c r="L19" s="272"/>
      <c r="M19" s="272"/>
      <c r="N19" s="272"/>
      <c r="O19" s="272"/>
      <c r="P19" s="272"/>
      <c r="Q19" s="272"/>
      <c r="R19" s="278"/>
      <c r="S19" s="271" t="str">
        <f>INDEX(PRIJEVODI!B:D,MATCH("IRA-026",PRIJEVODI!A:A,0),MATCH(NASLOV!$B$2,PRIJEVODI!$B$1:$D$1,0))</f>
        <v xml:space="preserve">STEUERPFLICHTIG </v>
      </c>
      <c r="T19" s="272"/>
      <c r="U19" s="272"/>
      <c r="V19" s="272"/>
      <c r="W19" s="272"/>
      <c r="X19" s="273"/>
    </row>
    <row r="20" spans="2:24" ht="12.75" customHeight="1" x14ac:dyDescent="0.2">
      <c r="B20" s="284"/>
      <c r="C20" s="287"/>
      <c r="D20" s="288"/>
      <c r="E20" s="292"/>
      <c r="F20" s="293"/>
      <c r="G20" s="294"/>
      <c r="H20" s="314"/>
      <c r="I20" s="274"/>
      <c r="J20" s="275"/>
      <c r="K20" s="275"/>
      <c r="L20" s="275"/>
      <c r="M20" s="275"/>
      <c r="N20" s="275"/>
      <c r="O20" s="275"/>
      <c r="P20" s="275"/>
      <c r="Q20" s="275"/>
      <c r="R20" s="276"/>
      <c r="S20" s="274"/>
      <c r="T20" s="275"/>
      <c r="U20" s="275"/>
      <c r="V20" s="275"/>
      <c r="W20" s="275"/>
      <c r="X20" s="276"/>
    </row>
    <row r="21" spans="2:24" ht="12.75" customHeight="1" x14ac:dyDescent="0.2">
      <c r="B21" s="284"/>
      <c r="C21" s="260" t="str">
        <f>INDEX(PRIJEVODI!B:D,MATCH("IRA-009",PRIJEVODI!A:A,0),MATCH(NASLOV!$B$2,PRIJEVODI!$B$1:$D$1,0))</f>
        <v xml:space="preserve">NUMMER </v>
      </c>
      <c r="D21" s="260" t="str">
        <f>INDEX(PRIJEVODI!B:D,MATCH("IRA-010",PRIJEVODI!A:A,0),MATCH(NASLOV!$B$2,PRIJEVODI!$B$1:$D$1,0))</f>
        <v>DATUM</v>
      </c>
      <c r="E21" s="295" t="str">
        <f>INDEX(PRIJEVODI!B:D,MATCH("IRA-012",PRIJEVODI!A:A,0),MATCH(NASLOV!$B$2,PRIJEVODI!$B$1:$D$1,0))</f>
        <v>TITEL - NAME UND NACHNAME UND GESCHÄFTSSITZ / SITZORT</v>
      </c>
      <c r="F21" s="296"/>
      <c r="G21" s="301" t="str">
        <f>INDEX(PRIJEVODI!B:D,MATCH("IRA-013",PRIJEVODI!A:A,0),MATCH(NASLOV!$B$2,PRIJEVODI!$B$1:$D$1,0))</f>
        <v>STEUERNUMMER (UID)</v>
      </c>
      <c r="H21" s="314"/>
      <c r="I21" s="268" t="str">
        <f>INDEX(PRIJEVODI!B:D,MATCH("IRA-016",PRIJEVODI!A:A,0),MATCH(NASLOV!$B$2,PRIJEVODI!$B$1:$D$1,0))</f>
        <v>INLAND ÜBERTRAGUNG DER STEUERPFLICHT</v>
      </c>
      <c r="J21" s="268" t="str">
        <f>INDEX(PRIJEVODI!B:D,MATCH("IRA-017",PRIJEVODI!A:A,0),MATCH(NASLOV!$B$2,PRIJEVODI!$B$1:$D$1,0))</f>
        <v>LIEFERUNG VON GÜTERN IN ANDERE EU MITGLIEDSTAATEN</v>
      </c>
      <c r="K21" s="268" t="str">
        <f>INDEX(PRIJEVODI!B:D,MATCH("IRA-018",PRIJEVODI!A:A,0),MATCH(NASLOV!$B$2,PRIJEVODI!$B$1:$D$1,0))</f>
        <v>LIEFERUNG VON GÜTERN INNERHALB DER EU</v>
      </c>
      <c r="L21" s="268" t="str">
        <f>INDEX(PRIJEVODI!B:D,MATCH("IRA-019",PRIJEVODI!A:A,0),MATCH(NASLOV!$B$2,PRIJEVODI!$B$1:$D$1,0))</f>
        <v>ERBRACHTE DIENSTLEISTUNGEN INNERHALB DER EU</v>
      </c>
      <c r="M21" s="268" t="str">
        <f>INDEX(PRIJEVODI!B:D,MATCH("IRA-020",PRIJEVODI!A:A,0),MATCH(NASLOV!$B$2,PRIJEVODI!$B$1:$D$1,0))</f>
        <v xml:space="preserve">ERBRACHTE DIENSTLEISTUNGEN AN PERSONEN OHNE SITZ IN KROATIEN   </v>
      </c>
      <c r="N21" s="268" t="str">
        <f>INDEX(PRIJEVODI!B:D,MATCH("IRA-021",PRIJEVODI!A:A,0),MATCH(NASLOV!$B$2,PRIJEVODI!$B$1:$D$1,0))</f>
        <v>MONTAGE UND INSTALLATION VON GÜTERN IN EINEM ANDEREN EU MITGLIEDSTAAT</v>
      </c>
      <c r="O21" s="268" t="str">
        <f>INDEX(PRIJEVODI!B:D,MATCH("IRA-022",PRIJEVODI!A:A,0),MATCH(NASLOV!$B$2,PRIJEVODI!$B$1:$D$1,0))</f>
        <v>LIEFERUNG NEUER TRANSPORTMITTEL (NTM) IN DIE EU</v>
      </c>
      <c r="P21" s="268" t="str">
        <f>INDEX(PRIJEVODI!B:D,MATCH("IRA-023",PRIJEVODI!A:A,0),MATCH(NASLOV!$B$2,PRIJEVODI!$B$1:$D$1,0))</f>
        <v>IM INLAND</v>
      </c>
      <c r="Q21" s="268" t="str">
        <f>INDEX(PRIJEVODI!B:D,MATCH("IRA-024",PRIJEVODI!A:A,0),MATCH(NASLOV!$B$2,PRIJEVODI!$B$1:$D$1,0))</f>
        <v>EXPORTLIEFERUNG</v>
      </c>
      <c r="R21" s="268" t="str">
        <f>INDEX(PRIJEVODI!B:D,MATCH("IRA-025",PRIJEVODI!A:A,0),MATCH(NASLOV!$B$2,PRIJEVODI!$B$1:$D$1,0))</f>
        <v>SONSTIGE STEUERBEFREIUNGEN</v>
      </c>
      <c r="S21" s="277">
        <v>0.05</v>
      </c>
      <c r="T21" s="278"/>
      <c r="U21" s="277">
        <v>0.13</v>
      </c>
      <c r="V21" s="278"/>
      <c r="W21" s="277">
        <v>0.25</v>
      </c>
      <c r="X21" s="278"/>
    </row>
    <row r="22" spans="2:24" x14ac:dyDescent="0.2">
      <c r="B22" s="284"/>
      <c r="C22" s="261"/>
      <c r="D22" s="261"/>
      <c r="E22" s="297"/>
      <c r="F22" s="298"/>
      <c r="G22" s="302"/>
      <c r="H22" s="314"/>
      <c r="I22" s="269"/>
      <c r="J22" s="269"/>
      <c r="K22" s="269"/>
      <c r="L22" s="269"/>
      <c r="M22" s="269"/>
      <c r="N22" s="269"/>
      <c r="O22" s="269"/>
      <c r="P22" s="269"/>
      <c r="Q22" s="269"/>
      <c r="R22" s="269"/>
      <c r="S22" s="274"/>
      <c r="T22" s="276"/>
      <c r="U22" s="274"/>
      <c r="V22" s="276"/>
      <c r="W22" s="274"/>
      <c r="X22" s="276"/>
    </row>
    <row r="23" spans="2:24" x14ac:dyDescent="0.2">
      <c r="B23" s="284"/>
      <c r="C23" s="261"/>
      <c r="D23" s="261"/>
      <c r="E23" s="297"/>
      <c r="F23" s="298"/>
      <c r="G23" s="302"/>
      <c r="H23" s="314"/>
      <c r="I23" s="269"/>
      <c r="J23" s="269"/>
      <c r="K23" s="269"/>
      <c r="L23" s="269"/>
      <c r="M23" s="269"/>
      <c r="N23" s="269"/>
      <c r="O23" s="269"/>
      <c r="P23" s="269"/>
      <c r="Q23" s="269"/>
      <c r="R23" s="269"/>
      <c r="S23" s="260" t="str">
        <f>INDEX(PRIJEVODI!B:D,MATCH("IRA-028",PRIJEVODI!A:A,0),MATCH(NASLOV!$B$2,PRIJEVODI!$B$1:$D$1,0))</f>
        <v>LIEFERWERT</v>
      </c>
      <c r="T23" s="260" t="str">
        <f>INDEX(PRIJEVODI!B:D,MATCH("IRA-029",PRIJEVODI!A:A,0),MATCH(NASLOV!$B$2,PRIJEVODI!$B$1:$D$1,0))</f>
        <v>STEUER</v>
      </c>
      <c r="U23" s="260" t="str">
        <f>INDEX(PRIJEVODI!B:D,MATCH("IRA-031",PRIJEVODI!A:A,0),MATCH(NASLOV!$B$2,PRIJEVODI!$B$1:$D$1,0))</f>
        <v>LIEFERWERT</v>
      </c>
      <c r="V23" s="260" t="str">
        <f>INDEX(PRIJEVODI!B:D,MATCH("IRA-032",PRIJEVODI!A:A,0),MATCH(NASLOV!$B$2,PRIJEVODI!$B$1:$D$1,0))</f>
        <v>STEUER</v>
      </c>
      <c r="W23" s="263" t="str">
        <f>INDEX(PRIJEVODI!B:D,MATCH("IRA-034",PRIJEVODI!A:A,0),MATCH(NASLOV!$B$2,PRIJEVODI!$B$1:$D$1,0))</f>
        <v>LIEFERWERT</v>
      </c>
      <c r="X23" s="260" t="str">
        <f>INDEX(PRIJEVODI!B:D,MATCH("IRA-035",PRIJEVODI!A:A,0),MATCH(NASLOV!$B$2,PRIJEVODI!$B$1:$D$1,0))</f>
        <v>STEUER</v>
      </c>
    </row>
    <row r="24" spans="2:24" x14ac:dyDescent="0.2">
      <c r="B24" s="284"/>
      <c r="C24" s="261"/>
      <c r="D24" s="261"/>
      <c r="E24" s="297"/>
      <c r="F24" s="298"/>
      <c r="G24" s="302"/>
      <c r="H24" s="314"/>
      <c r="I24" s="269"/>
      <c r="J24" s="269"/>
      <c r="K24" s="269"/>
      <c r="L24" s="269"/>
      <c r="M24" s="269"/>
      <c r="N24" s="269"/>
      <c r="O24" s="269"/>
      <c r="P24" s="269"/>
      <c r="Q24" s="269"/>
      <c r="R24" s="269"/>
      <c r="S24" s="261"/>
      <c r="T24" s="261"/>
      <c r="U24" s="261"/>
      <c r="V24" s="261"/>
      <c r="W24" s="264"/>
      <c r="X24" s="261"/>
    </row>
    <row r="25" spans="2:24" x14ac:dyDescent="0.2">
      <c r="B25" s="284"/>
      <c r="C25" s="261"/>
      <c r="D25" s="261"/>
      <c r="E25" s="297"/>
      <c r="F25" s="298"/>
      <c r="G25" s="302"/>
      <c r="H25" s="314"/>
      <c r="I25" s="269"/>
      <c r="J25" s="269"/>
      <c r="K25" s="269"/>
      <c r="L25" s="269"/>
      <c r="M25" s="269"/>
      <c r="N25" s="269"/>
      <c r="O25" s="269"/>
      <c r="P25" s="269"/>
      <c r="Q25" s="269"/>
      <c r="R25" s="269"/>
      <c r="S25" s="261"/>
      <c r="T25" s="261"/>
      <c r="U25" s="261"/>
      <c r="V25" s="261"/>
      <c r="W25" s="264"/>
      <c r="X25" s="261"/>
    </row>
    <row r="26" spans="2:24" x14ac:dyDescent="0.2">
      <c r="B26" s="284"/>
      <c r="C26" s="261"/>
      <c r="D26" s="261"/>
      <c r="E26" s="297"/>
      <c r="F26" s="298"/>
      <c r="G26" s="302"/>
      <c r="H26" s="314"/>
      <c r="I26" s="269"/>
      <c r="J26" s="269"/>
      <c r="K26" s="269"/>
      <c r="L26" s="269"/>
      <c r="M26" s="269"/>
      <c r="N26" s="269"/>
      <c r="O26" s="269"/>
      <c r="P26" s="269"/>
      <c r="Q26" s="269"/>
      <c r="R26" s="269"/>
      <c r="S26" s="261"/>
      <c r="T26" s="261"/>
      <c r="U26" s="261"/>
      <c r="V26" s="261"/>
      <c r="W26" s="264"/>
      <c r="X26" s="261"/>
    </row>
    <row r="27" spans="2:24" ht="17.25" customHeight="1" x14ac:dyDescent="0.2">
      <c r="B27" s="285"/>
      <c r="C27" s="262"/>
      <c r="D27" s="262"/>
      <c r="E27" s="299"/>
      <c r="F27" s="300"/>
      <c r="G27" s="303"/>
      <c r="H27" s="315"/>
      <c r="I27" s="270"/>
      <c r="J27" s="270"/>
      <c r="K27" s="270"/>
      <c r="L27" s="270"/>
      <c r="M27" s="270"/>
      <c r="N27" s="270"/>
      <c r="O27" s="270"/>
      <c r="P27" s="270"/>
      <c r="Q27" s="270"/>
      <c r="R27" s="270"/>
      <c r="S27" s="262"/>
      <c r="T27" s="262"/>
      <c r="U27" s="262"/>
      <c r="V27" s="262"/>
      <c r="W27" s="265"/>
      <c r="X27" s="262"/>
    </row>
    <row r="28" spans="2:24" x14ac:dyDescent="0.2">
      <c r="B28" s="3">
        <v>1</v>
      </c>
      <c r="C28" s="3">
        <v>2</v>
      </c>
      <c r="D28" s="3">
        <v>3</v>
      </c>
      <c r="E28" s="304">
        <v>4</v>
      </c>
      <c r="F28" s="305"/>
      <c r="G28" s="3">
        <v>5</v>
      </c>
      <c r="H28" s="3">
        <v>6</v>
      </c>
      <c r="I28" s="3">
        <v>7</v>
      </c>
      <c r="J28" s="3">
        <v>8</v>
      </c>
      <c r="K28" s="3">
        <v>9</v>
      </c>
      <c r="L28" s="3">
        <v>10</v>
      </c>
      <c r="M28" s="3">
        <v>11</v>
      </c>
      <c r="N28" s="3">
        <v>12</v>
      </c>
      <c r="O28" s="3">
        <v>13</v>
      </c>
      <c r="P28" s="3">
        <v>14</v>
      </c>
      <c r="Q28" s="3">
        <v>15</v>
      </c>
      <c r="R28" s="4">
        <v>16</v>
      </c>
      <c r="S28" s="3">
        <v>17</v>
      </c>
      <c r="T28" s="4">
        <v>18</v>
      </c>
      <c r="U28" s="3">
        <v>19</v>
      </c>
      <c r="V28" s="4">
        <v>20</v>
      </c>
      <c r="W28" s="66">
        <v>21</v>
      </c>
      <c r="X28" s="3">
        <v>22</v>
      </c>
    </row>
    <row r="29" spans="2:24" x14ac:dyDescent="0.2">
      <c r="B29" s="69"/>
      <c r="C29" s="85"/>
      <c r="D29" s="88"/>
      <c r="E29" s="79"/>
      <c r="F29" s="79"/>
      <c r="G29" s="79"/>
      <c r="H29" s="30"/>
      <c r="I29" s="81"/>
      <c r="J29" s="81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80">
        <f>+V29/0.13</f>
        <v>0</v>
      </c>
      <c r="V29" s="72"/>
      <c r="W29" s="30"/>
      <c r="X29" s="30"/>
    </row>
    <row r="30" spans="2:24" x14ac:dyDescent="0.2">
      <c r="B30" s="213">
        <v>91</v>
      </c>
      <c r="C30" s="86" t="s">
        <v>643</v>
      </c>
      <c r="D30" s="88">
        <v>45232</v>
      </c>
      <c r="E30" s="75" t="s">
        <v>644</v>
      </c>
      <c r="F30" s="79"/>
      <c r="G30" s="83"/>
      <c r="H30" s="30">
        <f>U30+V30</f>
        <v>2141.723769230769</v>
      </c>
      <c r="I30" s="89"/>
      <c r="J30" s="89"/>
      <c r="K30" s="90"/>
      <c r="L30" s="81"/>
      <c r="M30" s="81"/>
      <c r="N30" s="81"/>
      <c r="O30" s="81"/>
      <c r="P30" s="81"/>
      <c r="Q30" s="81"/>
      <c r="R30" s="81"/>
      <c r="S30" s="81"/>
      <c r="T30" s="81"/>
      <c r="U30" s="80">
        <f>+V30/0.13</f>
        <v>1895.3307692307692</v>
      </c>
      <c r="V30" s="72">
        <v>246.393</v>
      </c>
      <c r="W30" s="91"/>
      <c r="X30" s="91"/>
    </row>
    <row r="31" spans="2:24" x14ac:dyDescent="0.2">
      <c r="B31" s="214"/>
      <c r="C31" s="86"/>
      <c r="D31" s="87"/>
      <c r="E31" s="75"/>
      <c r="F31" s="79"/>
      <c r="G31" s="75"/>
      <c r="H31" s="30"/>
      <c r="I31" s="89"/>
      <c r="J31" s="89"/>
      <c r="K31" s="90"/>
      <c r="L31" s="81"/>
      <c r="M31" s="81"/>
      <c r="N31" s="81"/>
      <c r="O31" s="81"/>
      <c r="P31" s="81"/>
      <c r="Q31" s="81"/>
      <c r="R31" s="81"/>
      <c r="S31" s="81"/>
      <c r="T31" s="81"/>
      <c r="U31" s="80"/>
      <c r="V31" s="72"/>
      <c r="W31" s="91"/>
      <c r="X31" s="91"/>
    </row>
    <row r="32" spans="2:24" x14ac:dyDescent="0.2">
      <c r="B32" s="213">
        <v>1</v>
      </c>
      <c r="C32" s="86" t="s">
        <v>645</v>
      </c>
      <c r="D32" s="87">
        <v>45399</v>
      </c>
      <c r="E32" s="75" t="s">
        <v>646</v>
      </c>
      <c r="F32" s="79"/>
      <c r="G32" s="75"/>
      <c r="H32" s="30">
        <f t="shared" ref="H32:H38" si="0">U32+V32</f>
        <v>1087.1034615384615</v>
      </c>
      <c r="I32" s="89"/>
      <c r="J32" s="89"/>
      <c r="K32" s="90"/>
      <c r="L32" s="81"/>
      <c r="M32" s="81"/>
      <c r="N32" s="81"/>
      <c r="O32" s="81"/>
      <c r="P32" s="81"/>
      <c r="Q32" s="81"/>
      <c r="R32" s="81"/>
      <c r="S32" s="81"/>
      <c r="T32" s="81"/>
      <c r="U32" s="80">
        <f>+V32/0.13</f>
        <v>962.03846153846143</v>
      </c>
      <c r="V32" s="72">
        <v>125.065</v>
      </c>
      <c r="W32" s="91"/>
      <c r="X32" s="91"/>
    </row>
    <row r="33" spans="2:24" x14ac:dyDescent="0.2">
      <c r="B33" s="214">
        <v>2</v>
      </c>
      <c r="C33" s="102" t="s">
        <v>713</v>
      </c>
      <c r="D33" s="87">
        <v>45418</v>
      </c>
      <c r="E33" s="75" t="s">
        <v>714</v>
      </c>
      <c r="F33" s="79"/>
      <c r="G33" s="104"/>
      <c r="H33" s="30">
        <f t="shared" si="0"/>
        <v>2771.2815384615383</v>
      </c>
      <c r="I33" s="89"/>
      <c r="J33" s="89"/>
      <c r="K33" s="90"/>
      <c r="L33" s="81"/>
      <c r="M33" s="81"/>
      <c r="N33" s="81"/>
      <c r="O33" s="81"/>
      <c r="P33" s="81"/>
      <c r="Q33" s="81"/>
      <c r="R33" s="81"/>
      <c r="S33" s="81"/>
      <c r="T33" s="81"/>
      <c r="U33" s="80">
        <f>+V33/0.13</f>
        <v>2452.4615384615381</v>
      </c>
      <c r="V33" s="72">
        <v>318.82</v>
      </c>
      <c r="W33" s="91"/>
      <c r="X33" s="91"/>
    </row>
    <row r="34" spans="2:24" x14ac:dyDescent="0.2">
      <c r="B34" s="213">
        <v>3</v>
      </c>
      <c r="C34" s="102" t="s">
        <v>716</v>
      </c>
      <c r="D34" s="87">
        <v>45436</v>
      </c>
      <c r="E34" s="75" t="s">
        <v>715</v>
      </c>
      <c r="F34" s="79"/>
      <c r="G34" s="104"/>
      <c r="H34" s="30">
        <f t="shared" si="0"/>
        <v>1299.4521923076923</v>
      </c>
      <c r="I34" s="89"/>
      <c r="J34" s="89"/>
      <c r="K34" s="90"/>
      <c r="L34" s="81"/>
      <c r="M34" s="81"/>
      <c r="N34" s="81"/>
      <c r="O34" s="81"/>
      <c r="P34" s="81"/>
      <c r="Q34" s="81"/>
      <c r="R34" s="81"/>
      <c r="S34" s="81"/>
      <c r="T34" s="81"/>
      <c r="U34" s="80">
        <f>+V34/0.13</f>
        <v>1149.9576923076922</v>
      </c>
      <c r="V34" s="72">
        <v>149.49449999999999</v>
      </c>
      <c r="W34" s="91"/>
      <c r="X34" s="91"/>
    </row>
    <row r="35" spans="2:24" x14ac:dyDescent="0.2">
      <c r="B35" s="214">
        <v>4</v>
      </c>
      <c r="C35" s="102" t="s">
        <v>720</v>
      </c>
      <c r="D35" s="87">
        <v>45450</v>
      </c>
      <c r="E35" s="75" t="s">
        <v>725</v>
      </c>
      <c r="F35" s="79"/>
      <c r="G35" s="104"/>
      <c r="H35" s="30">
        <f t="shared" si="0"/>
        <v>792.17346153846154</v>
      </c>
      <c r="I35" s="89"/>
      <c r="J35" s="89"/>
      <c r="K35" s="90"/>
      <c r="L35" s="81"/>
      <c r="M35" s="81"/>
      <c r="N35" s="81"/>
      <c r="O35" s="81"/>
      <c r="P35" s="81"/>
      <c r="Q35" s="81"/>
      <c r="R35" s="81"/>
      <c r="S35" s="81"/>
      <c r="T35" s="81"/>
      <c r="U35" s="80">
        <f t="shared" ref="U35:U40" si="1">+V35/0.13</f>
        <v>701.03846153846155</v>
      </c>
      <c r="V35" s="72">
        <v>91.135000000000005</v>
      </c>
      <c r="W35" s="91"/>
      <c r="X35" s="91"/>
    </row>
    <row r="36" spans="2:24" x14ac:dyDescent="0.2">
      <c r="B36" s="213">
        <v>5</v>
      </c>
      <c r="C36" s="102" t="s">
        <v>721</v>
      </c>
      <c r="D36" s="87">
        <v>45453</v>
      </c>
      <c r="E36" s="75" t="s">
        <v>726</v>
      </c>
      <c r="F36" s="79"/>
      <c r="G36" s="104"/>
      <c r="H36" s="30">
        <f t="shared" si="0"/>
        <v>966.78453846153843</v>
      </c>
      <c r="I36" s="89"/>
      <c r="J36" s="89"/>
      <c r="K36" s="90"/>
      <c r="L36" s="81"/>
      <c r="M36" s="81"/>
      <c r="N36" s="81"/>
      <c r="O36" s="81"/>
      <c r="P36" s="81"/>
      <c r="Q36" s="81"/>
      <c r="R36" s="81"/>
      <c r="S36" s="81"/>
      <c r="T36" s="81"/>
      <c r="U36" s="80">
        <f t="shared" si="1"/>
        <v>855.56153846153848</v>
      </c>
      <c r="V36" s="72">
        <v>111.223</v>
      </c>
      <c r="W36" s="91"/>
      <c r="X36" s="91"/>
    </row>
    <row r="37" spans="2:24" ht="12.75" customHeight="1" x14ac:dyDescent="0.2">
      <c r="B37" s="214">
        <v>6</v>
      </c>
      <c r="C37" s="102" t="s">
        <v>722</v>
      </c>
      <c r="D37" s="87">
        <v>45454</v>
      </c>
      <c r="E37" s="75" t="s">
        <v>727</v>
      </c>
      <c r="F37" s="79"/>
      <c r="G37" s="104"/>
      <c r="H37" s="30">
        <f t="shared" si="0"/>
        <v>1284.2363076923075</v>
      </c>
      <c r="I37" s="89"/>
      <c r="J37" s="89"/>
      <c r="K37" s="90"/>
      <c r="L37" s="81"/>
      <c r="M37" s="81"/>
      <c r="N37" s="81"/>
      <c r="O37" s="81"/>
      <c r="P37" s="81"/>
      <c r="Q37" s="81"/>
      <c r="R37" s="81"/>
      <c r="S37" s="81"/>
      <c r="T37" s="81"/>
      <c r="U37" s="80">
        <f t="shared" si="1"/>
        <v>1136.4923076923076</v>
      </c>
      <c r="V37" s="72">
        <v>147.744</v>
      </c>
      <c r="W37" s="91"/>
      <c r="X37" s="91"/>
    </row>
    <row r="38" spans="2:24" x14ac:dyDescent="0.2">
      <c r="B38" s="213">
        <v>7</v>
      </c>
      <c r="C38" s="102" t="s">
        <v>723</v>
      </c>
      <c r="D38" s="87">
        <v>45454</v>
      </c>
      <c r="E38" s="75" t="s">
        <v>728</v>
      </c>
      <c r="F38" s="79"/>
      <c r="G38" s="104"/>
      <c r="H38" s="30">
        <f t="shared" si="0"/>
        <v>1053.9162307692307</v>
      </c>
      <c r="I38" s="89"/>
      <c r="J38" s="89"/>
      <c r="K38" s="90"/>
      <c r="L38" s="81"/>
      <c r="M38" s="81"/>
      <c r="N38" s="81"/>
      <c r="O38" s="81"/>
      <c r="P38" s="81"/>
      <c r="Q38" s="81"/>
      <c r="R38" s="81"/>
      <c r="S38" s="81"/>
      <c r="T38" s="81"/>
      <c r="U38" s="80">
        <f t="shared" si="1"/>
        <v>932.66923076923069</v>
      </c>
      <c r="V38" s="72">
        <v>121.247</v>
      </c>
      <c r="W38" s="91"/>
      <c r="X38" s="91"/>
    </row>
    <row r="39" spans="2:24" ht="13.5" thickBot="1" x14ac:dyDescent="0.25">
      <c r="B39" s="215">
        <v>8</v>
      </c>
      <c r="C39" s="102" t="s">
        <v>724</v>
      </c>
      <c r="D39" s="103">
        <v>45455</v>
      </c>
      <c r="E39" s="104" t="s">
        <v>729</v>
      </c>
      <c r="F39" s="79"/>
      <c r="G39" s="104"/>
      <c r="H39" s="30">
        <f>U39+V39</f>
        <v>4319.9986923076922</v>
      </c>
      <c r="I39" s="89"/>
      <c r="J39" s="89"/>
      <c r="K39" s="90"/>
      <c r="L39" s="81"/>
      <c r="M39" s="81"/>
      <c r="N39" s="81"/>
      <c r="O39" s="81"/>
      <c r="P39" s="81"/>
      <c r="Q39" s="81"/>
      <c r="R39" s="81"/>
      <c r="S39" s="81"/>
      <c r="T39" s="81"/>
      <c r="U39" s="80">
        <f t="shared" si="1"/>
        <v>3823.0076923076922</v>
      </c>
      <c r="V39" s="72">
        <v>496.99099999999999</v>
      </c>
      <c r="W39" s="91"/>
      <c r="X39" s="91"/>
    </row>
    <row r="40" spans="2:24" x14ac:dyDescent="0.2">
      <c r="B40" s="216"/>
      <c r="C40" s="217"/>
      <c r="D40" s="218"/>
      <c r="E40" s="219"/>
      <c r="F40" s="220"/>
      <c r="G40" s="104"/>
      <c r="H40" s="30">
        <f>U40+V40</f>
        <v>0</v>
      </c>
      <c r="I40" s="89"/>
      <c r="J40" s="89"/>
      <c r="K40" s="90"/>
      <c r="L40" s="81"/>
      <c r="M40" s="81"/>
      <c r="N40" s="81"/>
      <c r="O40" s="81"/>
      <c r="P40" s="81"/>
      <c r="Q40" s="81"/>
      <c r="R40" s="81"/>
      <c r="S40" s="81"/>
      <c r="T40" s="81"/>
      <c r="U40" s="80">
        <f t="shared" si="1"/>
        <v>0</v>
      </c>
      <c r="V40" s="72"/>
      <c r="W40" s="91"/>
      <c r="X40" s="91"/>
    </row>
    <row r="41" spans="2:24" x14ac:dyDescent="0.2">
      <c r="B41" s="84"/>
      <c r="C41" s="310" t="s">
        <v>750</v>
      </c>
      <c r="D41" s="311"/>
      <c r="E41" s="311"/>
      <c r="F41" s="312"/>
      <c r="G41" s="104"/>
      <c r="H41" s="30">
        <f t="shared" ref="H41:H91" si="2">U41+V41</f>
        <v>0</v>
      </c>
      <c r="I41" s="89"/>
      <c r="J41" s="89"/>
      <c r="K41" s="90"/>
      <c r="L41" s="81"/>
      <c r="M41" s="81"/>
      <c r="N41" s="81"/>
      <c r="O41" s="81"/>
      <c r="P41" s="81"/>
      <c r="Q41" s="81"/>
      <c r="R41" s="81"/>
      <c r="S41" s="81"/>
      <c r="T41" s="81"/>
      <c r="U41" s="80">
        <f>+V41/0.13</f>
        <v>0</v>
      </c>
      <c r="V41" s="72"/>
      <c r="W41" s="91"/>
      <c r="X41" s="91"/>
    </row>
    <row r="42" spans="2:24" ht="13.5" thickBot="1" x14ac:dyDescent="0.25">
      <c r="B42" s="221"/>
      <c r="C42" s="222"/>
      <c r="D42" s="223"/>
      <c r="E42" s="224"/>
      <c r="F42" s="225"/>
      <c r="G42" s="104"/>
      <c r="H42" s="30">
        <f t="shared" si="2"/>
        <v>0</v>
      </c>
      <c r="I42" s="89"/>
      <c r="J42" s="89"/>
      <c r="K42" s="90"/>
      <c r="L42" s="81"/>
      <c r="M42" s="81"/>
      <c r="N42" s="81"/>
      <c r="O42" s="81"/>
      <c r="P42" s="81"/>
      <c r="Q42" s="81"/>
      <c r="R42" s="81"/>
      <c r="S42" s="81"/>
      <c r="T42" s="81"/>
      <c r="U42" s="80">
        <f>+V42/0.13</f>
        <v>0</v>
      </c>
      <c r="V42" s="72"/>
      <c r="W42" s="91"/>
      <c r="X42" s="91"/>
    </row>
    <row r="43" spans="2:24" x14ac:dyDescent="0.2">
      <c r="B43" s="230">
        <v>9</v>
      </c>
      <c r="C43" s="209" t="s">
        <v>751</v>
      </c>
      <c r="D43" s="210">
        <v>45474</v>
      </c>
      <c r="E43" s="211" t="s">
        <v>752</v>
      </c>
      <c r="F43" s="212"/>
      <c r="G43" s="104"/>
      <c r="H43" s="30">
        <f>U43+V43</f>
        <v>2318.3757999999998</v>
      </c>
      <c r="I43" s="89"/>
      <c r="J43" s="89"/>
      <c r="K43" s="90"/>
      <c r="L43" s="81"/>
      <c r="M43" s="81"/>
      <c r="N43" s="81"/>
      <c r="O43" s="81"/>
      <c r="P43" s="81"/>
      <c r="Q43" s="81"/>
      <c r="R43" s="81"/>
      <c r="S43" s="81"/>
      <c r="T43" s="81"/>
      <c r="U43" s="80">
        <v>2051.66</v>
      </c>
      <c r="V43" s="72">
        <f>PRODUCT(U43,0.13)</f>
        <v>266.7158</v>
      </c>
      <c r="W43" s="91"/>
      <c r="X43" s="91"/>
    </row>
    <row r="44" spans="2:24" x14ac:dyDescent="0.2">
      <c r="B44" s="214">
        <v>10</v>
      </c>
      <c r="C44" s="102" t="s">
        <v>753</v>
      </c>
      <c r="D44" s="87">
        <v>45476</v>
      </c>
      <c r="E44" s="75" t="s">
        <v>754</v>
      </c>
      <c r="F44" s="208"/>
      <c r="G44" s="104"/>
      <c r="H44" s="30">
        <f t="shared" si="2"/>
        <v>526.33140000000003</v>
      </c>
      <c r="I44" s="89"/>
      <c r="J44" s="89"/>
      <c r="K44" s="90"/>
      <c r="L44" s="81"/>
      <c r="M44" s="81"/>
      <c r="N44" s="81"/>
      <c r="O44" s="81"/>
      <c r="P44" s="81"/>
      <c r="Q44" s="81"/>
      <c r="R44" s="81"/>
      <c r="S44" s="81"/>
      <c r="T44" s="81"/>
      <c r="U44" s="80">
        <v>465.78</v>
      </c>
      <c r="V44" s="72">
        <f t="shared" ref="V44:V91" si="3">PRODUCT(U44,0.13)</f>
        <v>60.551400000000001</v>
      </c>
      <c r="W44" s="91"/>
      <c r="X44" s="91"/>
    </row>
    <row r="45" spans="2:24" x14ac:dyDescent="0.2">
      <c r="B45" s="214">
        <v>11</v>
      </c>
      <c r="C45" s="102" t="s">
        <v>755</v>
      </c>
      <c r="D45" s="87">
        <v>45477</v>
      </c>
      <c r="E45" s="75" t="s">
        <v>756</v>
      </c>
      <c r="F45" s="208"/>
      <c r="G45" s="104"/>
      <c r="H45" s="30">
        <f t="shared" si="2"/>
        <v>989.64269999999999</v>
      </c>
      <c r="I45" s="89"/>
      <c r="J45" s="89"/>
      <c r="K45" s="90"/>
      <c r="L45" s="81"/>
      <c r="M45" s="81"/>
      <c r="N45" s="81"/>
      <c r="O45" s="81"/>
      <c r="P45" s="81"/>
      <c r="Q45" s="81"/>
      <c r="R45" s="81"/>
      <c r="S45" s="81"/>
      <c r="T45" s="81"/>
      <c r="U45" s="80">
        <v>875.79</v>
      </c>
      <c r="V45" s="72">
        <f t="shared" si="3"/>
        <v>113.8527</v>
      </c>
      <c r="W45" s="91"/>
      <c r="X45" s="91"/>
    </row>
    <row r="46" spans="2:24" x14ac:dyDescent="0.2">
      <c r="B46" s="214">
        <v>12</v>
      </c>
      <c r="C46" s="102" t="s">
        <v>757</v>
      </c>
      <c r="D46" s="87">
        <v>45478</v>
      </c>
      <c r="E46" s="75" t="s">
        <v>758</v>
      </c>
      <c r="F46" s="83"/>
      <c r="G46" s="104"/>
      <c r="H46" s="30">
        <f t="shared" si="2"/>
        <v>1425.7097000000001</v>
      </c>
      <c r="I46" s="89"/>
      <c r="J46" s="89"/>
      <c r="K46" s="90"/>
      <c r="L46" s="81"/>
      <c r="M46" s="81"/>
      <c r="N46" s="81"/>
      <c r="O46" s="81"/>
      <c r="P46" s="81"/>
      <c r="Q46" s="81"/>
      <c r="R46" s="81"/>
      <c r="S46" s="81"/>
      <c r="T46" s="81"/>
      <c r="U46" s="80">
        <v>1261.69</v>
      </c>
      <c r="V46" s="72">
        <f t="shared" si="3"/>
        <v>164.0197</v>
      </c>
      <c r="W46" s="91"/>
      <c r="X46" s="91"/>
    </row>
    <row r="47" spans="2:24" x14ac:dyDescent="0.2">
      <c r="B47" s="214">
        <v>13</v>
      </c>
      <c r="C47" s="102" t="s">
        <v>759</v>
      </c>
      <c r="D47" s="87">
        <v>45480</v>
      </c>
      <c r="E47" s="75" t="s">
        <v>760</v>
      </c>
      <c r="F47" s="75"/>
      <c r="G47" s="104"/>
      <c r="H47" s="30">
        <f t="shared" si="2"/>
        <v>1067.7370000000001</v>
      </c>
      <c r="I47" s="89"/>
      <c r="J47" s="89"/>
      <c r="K47" s="90"/>
      <c r="L47" s="81"/>
      <c r="M47" s="81"/>
      <c r="N47" s="81"/>
      <c r="O47" s="81"/>
      <c r="P47" s="81"/>
      <c r="Q47" s="81"/>
      <c r="R47" s="81"/>
      <c r="S47" s="81"/>
      <c r="T47" s="81"/>
      <c r="U47" s="80">
        <v>944.9</v>
      </c>
      <c r="V47" s="72">
        <f t="shared" si="3"/>
        <v>122.837</v>
      </c>
      <c r="W47" s="91"/>
      <c r="X47" s="91"/>
    </row>
    <row r="48" spans="2:24" x14ac:dyDescent="0.2">
      <c r="B48" s="214">
        <v>14</v>
      </c>
      <c r="C48" s="102" t="s">
        <v>761</v>
      </c>
      <c r="D48" s="87">
        <v>45482</v>
      </c>
      <c r="E48" s="75" t="s">
        <v>762</v>
      </c>
      <c r="F48" s="104"/>
      <c r="G48" s="104"/>
      <c r="H48" s="30">
        <f t="shared" si="2"/>
        <v>2124.9311000000002</v>
      </c>
      <c r="I48" s="89"/>
      <c r="J48" s="89"/>
      <c r="K48" s="90"/>
      <c r="L48" s="81"/>
      <c r="M48" s="81"/>
      <c r="N48" s="81"/>
      <c r="O48" s="81"/>
      <c r="P48" s="81"/>
      <c r="Q48" s="81"/>
      <c r="R48" s="81"/>
      <c r="S48" s="81"/>
      <c r="T48" s="81"/>
      <c r="U48" s="80">
        <v>1880.47</v>
      </c>
      <c r="V48" s="72">
        <f t="shared" si="3"/>
        <v>244.46110000000002</v>
      </c>
      <c r="W48" s="91"/>
      <c r="X48" s="91"/>
    </row>
    <row r="49" spans="2:24" x14ac:dyDescent="0.2">
      <c r="B49" s="214">
        <v>15</v>
      </c>
      <c r="C49" s="102" t="s">
        <v>763</v>
      </c>
      <c r="D49" s="87">
        <v>45489</v>
      </c>
      <c r="E49" s="104" t="s">
        <v>764</v>
      </c>
      <c r="F49" s="104"/>
      <c r="G49" s="104"/>
      <c r="H49" s="30">
        <f t="shared" si="2"/>
        <v>1619.4708000000001</v>
      </c>
      <c r="I49" s="89"/>
      <c r="J49" s="89"/>
      <c r="K49" s="90"/>
      <c r="L49" s="81"/>
      <c r="M49" s="81"/>
      <c r="N49" s="81"/>
      <c r="O49" s="81"/>
      <c r="P49" s="81"/>
      <c r="Q49" s="81"/>
      <c r="R49" s="81"/>
      <c r="S49" s="81"/>
      <c r="T49" s="81"/>
      <c r="U49" s="80">
        <v>1433.16</v>
      </c>
      <c r="V49" s="72">
        <f t="shared" si="3"/>
        <v>186.31080000000003</v>
      </c>
      <c r="W49" s="91"/>
      <c r="X49" s="91"/>
    </row>
    <row r="50" spans="2:24" ht="13.5" thickBot="1" x14ac:dyDescent="0.25">
      <c r="B50" s="214">
        <v>16</v>
      </c>
      <c r="C50" s="102" t="s">
        <v>765</v>
      </c>
      <c r="D50" s="103">
        <v>45494</v>
      </c>
      <c r="E50" s="104" t="s">
        <v>766</v>
      </c>
      <c r="F50" s="104"/>
      <c r="G50" s="104"/>
      <c r="H50" s="30">
        <f t="shared" si="2"/>
        <v>2126.2192999999997</v>
      </c>
      <c r="I50" s="89"/>
      <c r="J50" s="89"/>
      <c r="K50" s="90"/>
      <c r="L50" s="81"/>
      <c r="M50" s="81"/>
      <c r="N50" s="81"/>
      <c r="O50" s="81"/>
      <c r="P50" s="81"/>
      <c r="Q50" s="81"/>
      <c r="R50" s="81"/>
      <c r="S50" s="81"/>
      <c r="T50" s="81"/>
      <c r="U50" s="80">
        <v>1881.61</v>
      </c>
      <c r="V50" s="72">
        <f t="shared" si="3"/>
        <v>244.60929999999999</v>
      </c>
      <c r="W50" s="91"/>
      <c r="X50" s="91"/>
    </row>
    <row r="51" spans="2:24" x14ac:dyDescent="0.2">
      <c r="B51" s="216"/>
      <c r="C51" s="217"/>
      <c r="D51" s="218"/>
      <c r="E51" s="219"/>
      <c r="F51" s="220"/>
      <c r="G51" s="104"/>
      <c r="H51" s="30">
        <f t="shared" si="2"/>
        <v>0</v>
      </c>
      <c r="I51" s="89"/>
      <c r="J51" s="89"/>
      <c r="K51" s="90"/>
      <c r="L51" s="81"/>
      <c r="M51" s="81"/>
      <c r="N51" s="81"/>
      <c r="O51" s="81"/>
      <c r="P51" s="81"/>
      <c r="Q51" s="81"/>
      <c r="R51" s="81"/>
      <c r="S51" s="81"/>
      <c r="T51" s="81"/>
      <c r="U51" s="80">
        <v>0</v>
      </c>
      <c r="V51" s="72">
        <f t="shared" si="3"/>
        <v>0</v>
      </c>
      <c r="W51" s="91"/>
      <c r="X51" s="91"/>
    </row>
    <row r="52" spans="2:24" x14ac:dyDescent="0.2">
      <c r="B52" s="84"/>
      <c r="C52" s="310" t="s">
        <v>767</v>
      </c>
      <c r="D52" s="311"/>
      <c r="E52" s="311"/>
      <c r="F52" s="312"/>
      <c r="G52" s="104"/>
      <c r="H52" s="30">
        <f t="shared" si="2"/>
        <v>0</v>
      </c>
      <c r="I52" s="89"/>
      <c r="J52" s="89"/>
      <c r="K52" s="90"/>
      <c r="L52" s="81"/>
      <c r="M52" s="81"/>
      <c r="N52" s="81"/>
      <c r="O52" s="81"/>
      <c r="P52" s="81"/>
      <c r="Q52" s="81"/>
      <c r="R52" s="81"/>
      <c r="S52" s="81"/>
      <c r="T52" s="81"/>
      <c r="U52" s="80">
        <v>0</v>
      </c>
      <c r="V52" s="72">
        <f t="shared" si="3"/>
        <v>0</v>
      </c>
      <c r="W52" s="91"/>
      <c r="X52" s="91"/>
    </row>
    <row r="53" spans="2:24" ht="13.5" thickBot="1" x14ac:dyDescent="0.25">
      <c r="B53" s="221"/>
      <c r="C53" s="222" t="s">
        <v>768</v>
      </c>
      <c r="D53" s="223"/>
      <c r="E53" s="224"/>
      <c r="F53" s="225"/>
      <c r="G53" s="104"/>
      <c r="H53" s="30">
        <f t="shared" si="2"/>
        <v>0</v>
      </c>
      <c r="I53" s="89"/>
      <c r="J53" s="89"/>
      <c r="K53" s="90"/>
      <c r="L53" s="81"/>
      <c r="M53" s="81"/>
      <c r="N53" s="81"/>
      <c r="O53" s="81"/>
      <c r="P53" s="81"/>
      <c r="Q53" s="81"/>
      <c r="R53" s="81"/>
      <c r="S53" s="81"/>
      <c r="T53" s="81"/>
      <c r="U53" s="80">
        <v>0</v>
      </c>
      <c r="V53" s="72">
        <f t="shared" si="3"/>
        <v>0</v>
      </c>
      <c r="W53" s="91"/>
      <c r="X53" s="91"/>
    </row>
    <row r="54" spans="2:24" x14ac:dyDescent="0.2">
      <c r="B54" s="214">
        <v>17</v>
      </c>
      <c r="C54" s="102" t="s">
        <v>769</v>
      </c>
      <c r="D54" s="103">
        <v>45510</v>
      </c>
      <c r="E54" s="104" t="s">
        <v>783</v>
      </c>
      <c r="F54" s="104"/>
      <c r="G54" s="104"/>
      <c r="H54" s="30">
        <f t="shared" si="2"/>
        <v>1277.2954999999999</v>
      </c>
      <c r="I54" s="89"/>
      <c r="J54" s="89"/>
      <c r="K54" s="90"/>
      <c r="L54" s="81"/>
      <c r="M54" s="81"/>
      <c r="N54" s="81"/>
      <c r="O54" s="81"/>
      <c r="P54" s="81"/>
      <c r="Q54" s="81"/>
      <c r="R54" s="81"/>
      <c r="S54" s="81"/>
      <c r="T54" s="81"/>
      <c r="U54" s="80">
        <v>1130.3499999999999</v>
      </c>
      <c r="V54" s="72">
        <f t="shared" si="3"/>
        <v>146.94549999999998</v>
      </c>
      <c r="W54" s="91"/>
      <c r="X54" s="91"/>
    </row>
    <row r="55" spans="2:24" x14ac:dyDescent="0.2">
      <c r="B55" s="214">
        <v>18</v>
      </c>
      <c r="C55" s="102" t="s">
        <v>770</v>
      </c>
      <c r="D55" s="103">
        <v>45510</v>
      </c>
      <c r="E55" s="104" t="s">
        <v>784</v>
      </c>
      <c r="F55" s="104"/>
      <c r="G55" s="104"/>
      <c r="H55" s="30">
        <f t="shared" si="2"/>
        <v>992.3886</v>
      </c>
      <c r="I55" s="89"/>
      <c r="J55" s="89"/>
      <c r="K55" s="90"/>
      <c r="L55" s="81"/>
      <c r="M55" s="81"/>
      <c r="N55" s="81"/>
      <c r="O55" s="81"/>
      <c r="P55" s="81"/>
      <c r="Q55" s="81"/>
      <c r="R55" s="81"/>
      <c r="S55" s="81"/>
      <c r="T55" s="81"/>
      <c r="U55" s="80">
        <v>878.22</v>
      </c>
      <c r="V55" s="72">
        <f t="shared" si="3"/>
        <v>114.16860000000001</v>
      </c>
      <c r="W55" s="91"/>
      <c r="X55" s="91"/>
    </row>
    <row r="56" spans="2:24" x14ac:dyDescent="0.2">
      <c r="B56" s="214">
        <v>19</v>
      </c>
      <c r="C56" s="102" t="s">
        <v>771</v>
      </c>
      <c r="D56" s="103">
        <v>45510</v>
      </c>
      <c r="E56" s="104" t="s">
        <v>785</v>
      </c>
      <c r="F56" s="104"/>
      <c r="G56" s="104"/>
      <c r="H56" s="30">
        <f t="shared" si="2"/>
        <v>844.85579999999993</v>
      </c>
      <c r="I56" s="89"/>
      <c r="J56" s="89"/>
      <c r="K56" s="90"/>
      <c r="L56" s="81"/>
      <c r="M56" s="81"/>
      <c r="N56" s="81"/>
      <c r="O56" s="81"/>
      <c r="P56" s="81"/>
      <c r="Q56" s="81"/>
      <c r="R56" s="81"/>
      <c r="S56" s="81"/>
      <c r="T56" s="81"/>
      <c r="U56" s="80">
        <v>747.66</v>
      </c>
      <c r="V56" s="72">
        <f t="shared" si="3"/>
        <v>97.195800000000006</v>
      </c>
      <c r="W56" s="91"/>
      <c r="X56" s="91"/>
    </row>
    <row r="57" spans="2:24" x14ac:dyDescent="0.2">
      <c r="B57" s="214">
        <v>20</v>
      </c>
      <c r="C57" s="102" t="s">
        <v>772</v>
      </c>
      <c r="D57" s="103">
        <v>45512</v>
      </c>
      <c r="E57" s="104" t="s">
        <v>758</v>
      </c>
      <c r="F57" s="104"/>
      <c r="G57" s="104"/>
      <c r="H57" s="30">
        <f t="shared" si="2"/>
        <v>100.79600000000001</v>
      </c>
      <c r="I57" s="89"/>
      <c r="J57" s="89"/>
      <c r="K57" s="90"/>
      <c r="L57" s="81"/>
      <c r="M57" s="81"/>
      <c r="N57" s="81"/>
      <c r="O57" s="81"/>
      <c r="P57" s="81"/>
      <c r="Q57" s="81"/>
      <c r="R57" s="81"/>
      <c r="S57" s="81"/>
      <c r="T57" s="81"/>
      <c r="U57" s="80">
        <v>89.2</v>
      </c>
      <c r="V57" s="72">
        <f t="shared" si="3"/>
        <v>11.596</v>
      </c>
      <c r="W57" s="91"/>
      <c r="X57" s="91"/>
    </row>
    <row r="58" spans="2:24" x14ac:dyDescent="0.2">
      <c r="B58" s="214">
        <v>21</v>
      </c>
      <c r="C58" s="102" t="s">
        <v>773</v>
      </c>
      <c r="D58" s="103">
        <v>45524</v>
      </c>
      <c r="E58" s="104" t="s">
        <v>786</v>
      </c>
      <c r="F58" s="104"/>
      <c r="G58" s="104"/>
      <c r="H58" s="30">
        <f t="shared" si="2"/>
        <v>1041.0011999999999</v>
      </c>
      <c r="I58" s="89"/>
      <c r="J58" s="89"/>
      <c r="K58" s="90"/>
      <c r="L58" s="81"/>
      <c r="M58" s="81"/>
      <c r="N58" s="81"/>
      <c r="O58" s="81"/>
      <c r="P58" s="81"/>
      <c r="Q58" s="81"/>
      <c r="R58" s="81"/>
      <c r="S58" s="81"/>
      <c r="T58" s="81"/>
      <c r="U58" s="80">
        <v>921.24</v>
      </c>
      <c r="V58" s="72">
        <f t="shared" si="3"/>
        <v>119.7612</v>
      </c>
      <c r="W58" s="91"/>
      <c r="X58" s="91"/>
    </row>
    <row r="59" spans="2:24" x14ac:dyDescent="0.2">
      <c r="B59" s="214">
        <v>22</v>
      </c>
      <c r="C59" s="102" t="s">
        <v>774</v>
      </c>
      <c r="D59" s="103">
        <v>45526</v>
      </c>
      <c r="E59" s="104" t="s">
        <v>787</v>
      </c>
      <c r="F59" s="104"/>
      <c r="G59" s="104"/>
      <c r="H59" s="30">
        <f t="shared" si="2"/>
        <v>34.996099999999998</v>
      </c>
      <c r="I59" s="89"/>
      <c r="J59" s="89"/>
      <c r="K59" s="90"/>
      <c r="L59" s="81"/>
      <c r="M59" s="81"/>
      <c r="N59" s="81"/>
      <c r="O59" s="81"/>
      <c r="P59" s="81"/>
      <c r="Q59" s="81"/>
      <c r="R59" s="81"/>
      <c r="S59" s="81"/>
      <c r="T59" s="81"/>
      <c r="U59" s="80">
        <v>30.97</v>
      </c>
      <c r="V59" s="72">
        <f t="shared" si="3"/>
        <v>4.0260999999999996</v>
      </c>
      <c r="W59" s="91"/>
      <c r="X59" s="91"/>
    </row>
    <row r="60" spans="2:24" x14ac:dyDescent="0.2">
      <c r="B60" s="214">
        <v>23</v>
      </c>
      <c r="C60" s="102" t="s">
        <v>775</v>
      </c>
      <c r="D60" s="103">
        <v>45534</v>
      </c>
      <c r="E60" s="104" t="s">
        <v>788</v>
      </c>
      <c r="F60" s="104"/>
      <c r="G60" s="104"/>
      <c r="H60" s="30">
        <f t="shared" si="2"/>
        <v>34.996099999999998</v>
      </c>
      <c r="I60" s="89"/>
      <c r="J60" s="89"/>
      <c r="K60" s="90"/>
      <c r="L60" s="81"/>
      <c r="M60" s="81"/>
      <c r="N60" s="81"/>
      <c r="O60" s="81"/>
      <c r="P60" s="81"/>
      <c r="Q60" s="81"/>
      <c r="R60" s="81"/>
      <c r="S60" s="81"/>
      <c r="T60" s="81"/>
      <c r="U60" s="80">
        <v>30.97</v>
      </c>
      <c r="V60" s="72">
        <f t="shared" si="3"/>
        <v>4.0260999999999996</v>
      </c>
      <c r="W60" s="91"/>
      <c r="X60" s="91"/>
    </row>
    <row r="61" spans="2:24" x14ac:dyDescent="0.2">
      <c r="B61" s="214">
        <v>24</v>
      </c>
      <c r="C61" s="102" t="s">
        <v>776</v>
      </c>
      <c r="D61" s="103">
        <v>45534</v>
      </c>
      <c r="E61" s="104" t="s">
        <v>789</v>
      </c>
      <c r="F61" s="104"/>
      <c r="G61" s="104"/>
      <c r="H61" s="30">
        <f t="shared" si="2"/>
        <v>399.2516</v>
      </c>
      <c r="I61" s="89"/>
      <c r="J61" s="89"/>
      <c r="K61" s="90"/>
      <c r="L61" s="81"/>
      <c r="M61" s="81"/>
      <c r="N61" s="81"/>
      <c r="O61" s="81"/>
      <c r="P61" s="81"/>
      <c r="Q61" s="81"/>
      <c r="R61" s="81"/>
      <c r="S61" s="81"/>
      <c r="T61" s="81"/>
      <c r="U61" s="80">
        <v>353.32</v>
      </c>
      <c r="V61" s="72">
        <f t="shared" si="3"/>
        <v>45.931600000000003</v>
      </c>
      <c r="W61" s="91"/>
      <c r="X61" s="91"/>
    </row>
    <row r="62" spans="2:24" x14ac:dyDescent="0.2">
      <c r="B62" s="214">
        <v>25</v>
      </c>
      <c r="C62" s="102" t="s">
        <v>777</v>
      </c>
      <c r="D62" s="103">
        <v>45534</v>
      </c>
      <c r="E62" s="104" t="s">
        <v>790</v>
      </c>
      <c r="F62" s="104"/>
      <c r="G62" s="104"/>
      <c r="H62" s="30">
        <f t="shared" si="2"/>
        <v>883.87470000000008</v>
      </c>
      <c r="I62" s="89"/>
      <c r="J62" s="89"/>
      <c r="K62" s="90"/>
      <c r="L62" s="81"/>
      <c r="M62" s="81"/>
      <c r="N62" s="81"/>
      <c r="O62" s="81"/>
      <c r="P62" s="81"/>
      <c r="Q62" s="81"/>
      <c r="R62" s="81"/>
      <c r="S62" s="81"/>
      <c r="T62" s="81"/>
      <c r="U62" s="80">
        <v>782.19</v>
      </c>
      <c r="V62" s="72">
        <f t="shared" si="3"/>
        <v>101.68470000000001</v>
      </c>
      <c r="W62" s="91"/>
      <c r="X62" s="91"/>
    </row>
    <row r="63" spans="2:24" x14ac:dyDescent="0.2">
      <c r="B63" s="214">
        <v>26</v>
      </c>
      <c r="C63" s="102" t="s">
        <v>778</v>
      </c>
      <c r="D63" s="103">
        <v>45534</v>
      </c>
      <c r="E63" s="104" t="s">
        <v>791</v>
      </c>
      <c r="F63" s="104"/>
      <c r="G63" s="104"/>
      <c r="H63" s="30">
        <f t="shared" si="2"/>
        <v>652.85749999999996</v>
      </c>
      <c r="I63" s="89"/>
      <c r="J63" s="89"/>
      <c r="K63" s="90"/>
      <c r="L63" s="81"/>
      <c r="M63" s="81"/>
      <c r="N63" s="81"/>
      <c r="O63" s="81"/>
      <c r="P63" s="81"/>
      <c r="Q63" s="81"/>
      <c r="R63" s="81"/>
      <c r="S63" s="81"/>
      <c r="T63" s="81"/>
      <c r="U63" s="80">
        <v>577.75</v>
      </c>
      <c r="V63" s="72">
        <f t="shared" si="3"/>
        <v>75.107500000000002</v>
      </c>
      <c r="W63" s="91"/>
      <c r="X63" s="91"/>
    </row>
    <row r="64" spans="2:24" x14ac:dyDescent="0.2">
      <c r="B64" s="214">
        <v>27</v>
      </c>
      <c r="C64" s="102" t="s">
        <v>779</v>
      </c>
      <c r="D64" s="103">
        <v>45535</v>
      </c>
      <c r="E64" s="104" t="s">
        <v>792</v>
      </c>
      <c r="F64" s="104"/>
      <c r="G64" s="104"/>
      <c r="H64" s="30">
        <f t="shared" si="2"/>
        <v>1359.1752999999999</v>
      </c>
      <c r="I64" s="89"/>
      <c r="J64" s="89"/>
      <c r="K64" s="90"/>
      <c r="L64" s="81"/>
      <c r="M64" s="81"/>
      <c r="N64" s="81"/>
      <c r="O64" s="81"/>
      <c r="P64" s="81"/>
      <c r="Q64" s="81"/>
      <c r="R64" s="81"/>
      <c r="S64" s="81"/>
      <c r="T64" s="81"/>
      <c r="U64" s="80">
        <v>1202.81</v>
      </c>
      <c r="V64" s="72">
        <f t="shared" si="3"/>
        <v>156.36529999999999</v>
      </c>
      <c r="W64" s="91"/>
      <c r="X64" s="91"/>
    </row>
    <row r="65" spans="2:24" x14ac:dyDescent="0.2">
      <c r="B65" s="214">
        <v>28</v>
      </c>
      <c r="C65" s="102" t="s">
        <v>780</v>
      </c>
      <c r="D65" s="103">
        <v>45535</v>
      </c>
      <c r="E65" s="104" t="s">
        <v>793</v>
      </c>
      <c r="F65" s="104"/>
      <c r="G65" s="104"/>
      <c r="H65" s="30">
        <f t="shared" si="2"/>
        <v>587.56610000000001</v>
      </c>
      <c r="I65" s="89"/>
      <c r="J65" s="89"/>
      <c r="K65" s="90"/>
      <c r="L65" s="81"/>
      <c r="M65" s="81"/>
      <c r="N65" s="81"/>
      <c r="O65" s="81"/>
      <c r="P65" s="81"/>
      <c r="Q65" s="81"/>
      <c r="R65" s="81"/>
      <c r="S65" s="81"/>
      <c r="T65" s="81"/>
      <c r="U65" s="80">
        <v>519.97</v>
      </c>
      <c r="V65" s="72">
        <f t="shared" si="3"/>
        <v>67.596100000000007</v>
      </c>
      <c r="W65" s="91"/>
      <c r="X65" s="91"/>
    </row>
    <row r="66" spans="2:24" x14ac:dyDescent="0.2">
      <c r="B66" s="214">
        <v>29</v>
      </c>
      <c r="C66" s="102" t="s">
        <v>781</v>
      </c>
      <c r="D66" s="103">
        <v>45535</v>
      </c>
      <c r="E66" s="104" t="s">
        <v>794</v>
      </c>
      <c r="F66" s="104"/>
      <c r="G66" s="104"/>
      <c r="H66" s="30">
        <f t="shared" si="2"/>
        <v>845.71460000000002</v>
      </c>
      <c r="I66" s="89"/>
      <c r="J66" s="89"/>
      <c r="K66" s="90"/>
      <c r="L66" s="81"/>
      <c r="M66" s="81"/>
      <c r="N66" s="81"/>
      <c r="O66" s="81"/>
      <c r="P66" s="81"/>
      <c r="Q66" s="81"/>
      <c r="R66" s="81"/>
      <c r="S66" s="81"/>
      <c r="T66" s="81"/>
      <c r="U66" s="80">
        <v>748.42</v>
      </c>
      <c r="V66" s="72">
        <f t="shared" si="3"/>
        <v>97.294600000000003</v>
      </c>
      <c r="W66" s="91"/>
      <c r="X66" s="91"/>
    </row>
    <row r="67" spans="2:24" x14ac:dyDescent="0.2">
      <c r="B67" s="214">
        <v>30</v>
      </c>
      <c r="C67" s="102" t="s">
        <v>782</v>
      </c>
      <c r="D67" s="103">
        <v>45535</v>
      </c>
      <c r="E67" s="104" t="s">
        <v>795</v>
      </c>
      <c r="F67" s="104"/>
      <c r="G67" s="104"/>
      <c r="H67" s="30">
        <f t="shared" si="2"/>
        <v>436.91449999999998</v>
      </c>
      <c r="I67" s="89"/>
      <c r="J67" s="89"/>
      <c r="K67" s="90"/>
      <c r="L67" s="81"/>
      <c r="M67" s="81"/>
      <c r="N67" s="81"/>
      <c r="O67" s="81"/>
      <c r="P67" s="81"/>
      <c r="Q67" s="81"/>
      <c r="R67" s="81"/>
      <c r="S67" s="81"/>
      <c r="T67" s="81"/>
      <c r="U67" s="80">
        <v>386.65</v>
      </c>
      <c r="V67" s="72">
        <f t="shared" si="3"/>
        <v>50.264499999999998</v>
      </c>
      <c r="W67" s="91"/>
      <c r="X67" s="91"/>
    </row>
    <row r="68" spans="2:24" ht="13.5" thickBot="1" x14ac:dyDescent="0.25">
      <c r="B68" s="231"/>
      <c r="C68" s="102"/>
      <c r="D68" s="103"/>
      <c r="E68" s="104"/>
      <c r="F68" s="104"/>
      <c r="G68" s="104"/>
      <c r="H68" s="30">
        <f t="shared" si="2"/>
        <v>0</v>
      </c>
      <c r="I68" s="89"/>
      <c r="J68" s="89"/>
      <c r="K68" s="90"/>
      <c r="L68" s="81"/>
      <c r="M68" s="81"/>
      <c r="N68" s="81"/>
      <c r="O68" s="81"/>
      <c r="P68" s="81"/>
      <c r="Q68" s="81"/>
      <c r="R68" s="81"/>
      <c r="S68" s="81"/>
      <c r="T68" s="81"/>
      <c r="U68" s="80"/>
      <c r="V68" s="72"/>
      <c r="W68" s="91"/>
      <c r="X68" s="91"/>
    </row>
    <row r="69" spans="2:24" x14ac:dyDescent="0.2">
      <c r="B69" s="234"/>
      <c r="C69" s="217"/>
      <c r="D69" s="218"/>
      <c r="E69" s="219"/>
      <c r="F69" s="219"/>
      <c r="G69" s="104"/>
      <c r="H69" s="30">
        <f t="shared" si="2"/>
        <v>0</v>
      </c>
      <c r="I69" s="89"/>
      <c r="J69" s="89"/>
      <c r="K69" s="90"/>
      <c r="L69" s="81"/>
      <c r="M69" s="81"/>
      <c r="N69" s="81"/>
      <c r="O69" s="81"/>
      <c r="P69" s="81"/>
      <c r="Q69" s="81"/>
      <c r="R69" s="81"/>
      <c r="S69" s="81"/>
      <c r="T69" s="81"/>
      <c r="U69" s="80"/>
      <c r="V69" s="72"/>
      <c r="W69" s="91"/>
      <c r="X69" s="91"/>
    </row>
    <row r="70" spans="2:24" x14ac:dyDescent="0.2">
      <c r="B70" s="84"/>
      <c r="C70" s="307" t="s">
        <v>796</v>
      </c>
      <c r="D70" s="308"/>
      <c r="E70" s="308"/>
      <c r="F70" s="309"/>
      <c r="G70" s="104"/>
      <c r="H70" s="30">
        <f t="shared" si="2"/>
        <v>0</v>
      </c>
      <c r="I70" s="89"/>
      <c r="J70" s="89"/>
      <c r="K70" s="90"/>
      <c r="L70" s="81"/>
      <c r="M70" s="81"/>
      <c r="N70" s="81"/>
      <c r="O70" s="81"/>
      <c r="P70" s="81"/>
      <c r="Q70" s="81"/>
      <c r="R70" s="81"/>
      <c r="S70" s="81"/>
      <c r="T70" s="81"/>
      <c r="U70" s="80"/>
      <c r="V70" s="72"/>
      <c r="W70" s="91"/>
      <c r="X70" s="91"/>
    </row>
    <row r="71" spans="2:24" ht="13.5" thickBot="1" x14ac:dyDescent="0.25">
      <c r="B71" s="235"/>
      <c r="C71" s="236"/>
      <c r="D71" s="237"/>
      <c r="E71" s="238"/>
      <c r="F71" s="238"/>
      <c r="G71" s="104"/>
      <c r="H71" s="30">
        <f t="shared" si="2"/>
        <v>0</v>
      </c>
      <c r="I71" s="89"/>
      <c r="J71" s="89"/>
      <c r="K71" s="90"/>
      <c r="L71" s="81"/>
      <c r="M71" s="81"/>
      <c r="N71" s="81"/>
      <c r="O71" s="81"/>
      <c r="P71" s="81"/>
      <c r="Q71" s="81"/>
      <c r="R71" s="81"/>
      <c r="S71" s="81"/>
      <c r="T71" s="81"/>
      <c r="U71" s="80"/>
      <c r="V71" s="72"/>
      <c r="W71" s="91"/>
      <c r="X71" s="91"/>
    </row>
    <row r="72" spans="2:24" x14ac:dyDescent="0.2">
      <c r="B72" s="394">
        <v>31</v>
      </c>
      <c r="C72" s="245" t="s">
        <v>835</v>
      </c>
      <c r="D72" s="246">
        <v>45538</v>
      </c>
      <c r="E72" s="247" t="s">
        <v>836</v>
      </c>
      <c r="F72" s="247"/>
      <c r="G72" s="104"/>
      <c r="H72" s="30">
        <f t="shared" si="2"/>
        <v>275.99119999999999</v>
      </c>
      <c r="I72" s="89"/>
      <c r="J72" s="89"/>
      <c r="K72" s="90"/>
      <c r="L72" s="81"/>
      <c r="M72" s="81"/>
      <c r="N72" s="81"/>
      <c r="O72" s="81"/>
      <c r="P72" s="81"/>
      <c r="Q72" s="81"/>
      <c r="R72" s="81"/>
      <c r="S72" s="81"/>
      <c r="T72" s="81"/>
      <c r="U72" s="80">
        <v>244.24</v>
      </c>
      <c r="V72" s="72">
        <f t="shared" si="3"/>
        <v>31.751200000000001</v>
      </c>
      <c r="W72" s="91"/>
      <c r="X72" s="91"/>
    </row>
    <row r="73" spans="2:24" x14ac:dyDescent="0.2">
      <c r="B73" s="214">
        <v>32</v>
      </c>
      <c r="C73" s="248" t="s">
        <v>813</v>
      </c>
      <c r="D73" s="249">
        <v>45565</v>
      </c>
      <c r="E73" s="250" t="s">
        <v>814</v>
      </c>
      <c r="F73" s="250"/>
      <c r="G73" s="104"/>
      <c r="H73" s="30">
        <f t="shared" si="2"/>
        <v>845.71460000000002</v>
      </c>
      <c r="I73" s="89"/>
      <c r="J73" s="89"/>
      <c r="K73" s="90"/>
      <c r="L73" s="81"/>
      <c r="M73" s="81"/>
      <c r="N73" s="81"/>
      <c r="O73" s="81"/>
      <c r="P73" s="81"/>
      <c r="Q73" s="81"/>
      <c r="R73" s="81"/>
      <c r="S73" s="81"/>
      <c r="T73" s="81"/>
      <c r="U73" s="80">
        <v>748.42</v>
      </c>
      <c r="V73" s="72">
        <f t="shared" si="3"/>
        <v>97.294600000000003</v>
      </c>
      <c r="W73" s="91"/>
      <c r="X73" s="91"/>
    </row>
    <row r="74" spans="2:24" x14ac:dyDescent="0.2">
      <c r="B74" s="230">
        <v>33</v>
      </c>
      <c r="C74" s="209" t="s">
        <v>816</v>
      </c>
      <c r="D74" s="232">
        <v>45565</v>
      </c>
      <c r="E74" s="233" t="s">
        <v>815</v>
      </c>
      <c r="F74" s="233"/>
      <c r="G74" s="104"/>
      <c r="H74" s="30">
        <f t="shared" si="2"/>
        <v>587.56610000000001</v>
      </c>
      <c r="I74" s="89"/>
      <c r="J74" s="89"/>
      <c r="K74" s="90"/>
      <c r="L74" s="81"/>
      <c r="M74" s="81"/>
      <c r="N74" s="81"/>
      <c r="O74" s="81"/>
      <c r="P74" s="81"/>
      <c r="Q74" s="81"/>
      <c r="R74" s="81"/>
      <c r="S74" s="81"/>
      <c r="T74" s="81"/>
      <c r="U74" s="80">
        <v>519.97</v>
      </c>
      <c r="V74" s="72">
        <f t="shared" si="3"/>
        <v>67.596100000000007</v>
      </c>
      <c r="W74" s="91"/>
      <c r="X74" s="91"/>
    </row>
    <row r="75" spans="2:24" x14ac:dyDescent="0.2">
      <c r="B75" s="230">
        <v>34</v>
      </c>
      <c r="C75" s="102" t="s">
        <v>817</v>
      </c>
      <c r="D75" s="103">
        <v>45565</v>
      </c>
      <c r="E75" s="104" t="s">
        <v>818</v>
      </c>
      <c r="F75" s="104"/>
      <c r="G75" s="104"/>
      <c r="H75" s="30">
        <f t="shared" si="2"/>
        <v>919.029</v>
      </c>
      <c r="I75" s="89"/>
      <c r="J75" s="89"/>
      <c r="K75" s="90"/>
      <c r="L75" s="81"/>
      <c r="M75" s="81"/>
      <c r="N75" s="81"/>
      <c r="O75" s="81"/>
      <c r="P75" s="81"/>
      <c r="Q75" s="81"/>
      <c r="R75" s="81"/>
      <c r="S75" s="81"/>
      <c r="T75" s="81"/>
      <c r="U75" s="80">
        <v>813.3</v>
      </c>
      <c r="V75" s="72">
        <f t="shared" si="3"/>
        <v>105.729</v>
      </c>
      <c r="W75" s="91"/>
      <c r="X75" s="91"/>
    </row>
    <row r="76" spans="2:24" x14ac:dyDescent="0.2">
      <c r="B76" s="214">
        <v>35</v>
      </c>
      <c r="C76" s="102" t="s">
        <v>819</v>
      </c>
      <c r="D76" s="103">
        <v>45565</v>
      </c>
      <c r="E76" s="104" t="s">
        <v>820</v>
      </c>
      <c r="F76" s="104"/>
      <c r="G76" s="104"/>
      <c r="H76" s="30">
        <f t="shared" si="2"/>
        <v>677.9661000000001</v>
      </c>
      <c r="I76" s="89"/>
      <c r="J76" s="89"/>
      <c r="K76" s="90"/>
      <c r="L76" s="81"/>
      <c r="M76" s="81"/>
      <c r="N76" s="81"/>
      <c r="O76" s="81"/>
      <c r="P76" s="81"/>
      <c r="Q76" s="81"/>
      <c r="R76" s="81"/>
      <c r="S76" s="81"/>
      <c r="T76" s="81"/>
      <c r="U76" s="80">
        <v>599.97</v>
      </c>
      <c r="V76" s="72">
        <f t="shared" si="3"/>
        <v>77.996100000000013</v>
      </c>
      <c r="W76" s="91"/>
      <c r="X76" s="91"/>
    </row>
    <row r="77" spans="2:24" x14ac:dyDescent="0.2">
      <c r="B77" s="230">
        <v>36</v>
      </c>
      <c r="C77" s="102" t="s">
        <v>821</v>
      </c>
      <c r="D77" s="103">
        <v>45565</v>
      </c>
      <c r="E77" s="104" t="s">
        <v>822</v>
      </c>
      <c r="F77" s="104"/>
      <c r="G77" s="104"/>
      <c r="H77" s="30">
        <f t="shared" si="2"/>
        <v>843.70319999999992</v>
      </c>
      <c r="I77" s="89"/>
      <c r="J77" s="89"/>
      <c r="K77" s="90"/>
      <c r="L77" s="81"/>
      <c r="M77" s="81"/>
      <c r="N77" s="81"/>
      <c r="O77" s="81"/>
      <c r="P77" s="81"/>
      <c r="Q77" s="81"/>
      <c r="R77" s="81"/>
      <c r="S77" s="81"/>
      <c r="T77" s="81"/>
      <c r="U77" s="80">
        <v>746.64</v>
      </c>
      <c r="V77" s="72">
        <f t="shared" si="3"/>
        <v>97.063199999999995</v>
      </c>
      <c r="W77" s="91"/>
      <c r="X77" s="91"/>
    </row>
    <row r="78" spans="2:24" x14ac:dyDescent="0.2">
      <c r="B78" s="214">
        <v>37</v>
      </c>
      <c r="C78" s="102" t="s">
        <v>823</v>
      </c>
      <c r="D78" s="103">
        <v>45565</v>
      </c>
      <c r="E78" s="104" t="s">
        <v>824</v>
      </c>
      <c r="F78" s="104"/>
      <c r="G78" s="104"/>
      <c r="H78" s="30">
        <f t="shared" si="2"/>
        <v>587.56610000000001</v>
      </c>
      <c r="I78" s="89"/>
      <c r="J78" s="89"/>
      <c r="K78" s="90"/>
      <c r="L78" s="81"/>
      <c r="M78" s="81"/>
      <c r="N78" s="81"/>
      <c r="O78" s="81"/>
      <c r="P78" s="81"/>
      <c r="Q78" s="81"/>
      <c r="R78" s="81"/>
      <c r="S78" s="81"/>
      <c r="T78" s="81"/>
      <c r="U78" s="80">
        <v>519.97</v>
      </c>
      <c r="V78" s="72">
        <f t="shared" si="3"/>
        <v>67.596100000000007</v>
      </c>
      <c r="W78" s="91"/>
      <c r="X78" s="91"/>
    </row>
    <row r="79" spans="2:24" x14ac:dyDescent="0.2">
      <c r="B79" s="230">
        <v>38</v>
      </c>
      <c r="C79" s="102" t="s">
        <v>825</v>
      </c>
      <c r="D79" s="103">
        <v>45565</v>
      </c>
      <c r="E79" s="104" t="s">
        <v>826</v>
      </c>
      <c r="F79" s="104"/>
      <c r="G79" s="104"/>
      <c r="H79" s="30">
        <f t="shared" si="2"/>
        <v>677.9661000000001</v>
      </c>
      <c r="I79" s="89"/>
      <c r="J79" s="89"/>
      <c r="K79" s="90"/>
      <c r="L79" s="81"/>
      <c r="M79" s="81"/>
      <c r="N79" s="81"/>
      <c r="O79" s="81"/>
      <c r="P79" s="81"/>
      <c r="Q79" s="81"/>
      <c r="R79" s="81"/>
      <c r="S79" s="81"/>
      <c r="T79" s="81"/>
      <c r="U79" s="80">
        <v>599.97</v>
      </c>
      <c r="V79" s="72">
        <f t="shared" si="3"/>
        <v>77.996100000000013</v>
      </c>
      <c r="W79" s="91"/>
      <c r="X79" s="91"/>
    </row>
    <row r="80" spans="2:24" x14ac:dyDescent="0.2">
      <c r="B80" s="214">
        <v>39</v>
      </c>
      <c r="C80" s="102" t="s">
        <v>827</v>
      </c>
      <c r="D80" s="103">
        <v>45565</v>
      </c>
      <c r="E80" s="104" t="s">
        <v>828</v>
      </c>
      <c r="F80" s="104"/>
      <c r="G80" s="104"/>
      <c r="H80" s="30">
        <f t="shared" si="2"/>
        <v>843.70319999999992</v>
      </c>
      <c r="I80" s="89"/>
      <c r="J80" s="89"/>
      <c r="K80" s="90"/>
      <c r="L80" s="81"/>
      <c r="M80" s="81"/>
      <c r="N80" s="81"/>
      <c r="O80" s="81"/>
      <c r="P80" s="81"/>
      <c r="Q80" s="81"/>
      <c r="R80" s="81"/>
      <c r="S80" s="81"/>
      <c r="T80" s="81"/>
      <c r="U80" s="80">
        <v>746.64</v>
      </c>
      <c r="V80" s="72">
        <f t="shared" si="3"/>
        <v>97.063199999999995</v>
      </c>
      <c r="W80" s="91"/>
      <c r="X80" s="91"/>
    </row>
    <row r="81" spans="2:24" x14ac:dyDescent="0.2">
      <c r="B81" s="230">
        <v>40</v>
      </c>
      <c r="C81" s="102" t="s">
        <v>829</v>
      </c>
      <c r="D81" s="103">
        <v>45565</v>
      </c>
      <c r="E81" s="104" t="s">
        <v>830</v>
      </c>
      <c r="F81" s="104"/>
      <c r="G81" s="104"/>
      <c r="H81" s="30">
        <f t="shared" si="2"/>
        <v>557.44029999999998</v>
      </c>
      <c r="I81" s="89"/>
      <c r="J81" s="89"/>
      <c r="K81" s="90"/>
      <c r="L81" s="81"/>
      <c r="M81" s="81"/>
      <c r="N81" s="81"/>
      <c r="O81" s="81"/>
      <c r="P81" s="81"/>
      <c r="Q81" s="81"/>
      <c r="R81" s="81"/>
      <c r="S81" s="81"/>
      <c r="T81" s="81"/>
      <c r="U81" s="80">
        <v>493.31</v>
      </c>
      <c r="V81" s="72">
        <f t="shared" si="3"/>
        <v>64.130300000000005</v>
      </c>
      <c r="W81" s="91"/>
      <c r="X81" s="91"/>
    </row>
    <row r="82" spans="2:24" x14ac:dyDescent="0.2">
      <c r="B82" s="214">
        <v>41</v>
      </c>
      <c r="C82" s="102" t="s">
        <v>831</v>
      </c>
      <c r="D82" s="103">
        <v>45565</v>
      </c>
      <c r="E82" s="104" t="s">
        <v>832</v>
      </c>
      <c r="F82" s="104"/>
      <c r="G82" s="104"/>
      <c r="H82" s="30">
        <f t="shared" si="2"/>
        <v>919.029</v>
      </c>
      <c r="I82" s="89"/>
      <c r="J82" s="89"/>
      <c r="K82" s="90"/>
      <c r="L82" s="81"/>
      <c r="M82" s="81"/>
      <c r="N82" s="81"/>
      <c r="O82" s="81"/>
      <c r="P82" s="81"/>
      <c r="Q82" s="81"/>
      <c r="R82" s="81"/>
      <c r="S82" s="81"/>
      <c r="T82" s="81"/>
      <c r="U82" s="80">
        <v>813.3</v>
      </c>
      <c r="V82" s="72">
        <f t="shared" si="3"/>
        <v>105.729</v>
      </c>
      <c r="W82" s="91"/>
      <c r="X82" s="91"/>
    </row>
    <row r="83" spans="2:24" x14ac:dyDescent="0.2">
      <c r="B83" s="230">
        <v>42</v>
      </c>
      <c r="C83" s="102" t="s">
        <v>833</v>
      </c>
      <c r="D83" s="103">
        <v>45565</v>
      </c>
      <c r="E83" s="104" t="s">
        <v>834</v>
      </c>
      <c r="F83" s="104"/>
      <c r="G83" s="104"/>
      <c r="H83" s="30">
        <f t="shared" si="2"/>
        <v>715.62899999999991</v>
      </c>
      <c r="I83" s="89"/>
      <c r="J83" s="89"/>
      <c r="K83" s="90"/>
      <c r="L83" s="81"/>
      <c r="M83" s="81"/>
      <c r="N83" s="81"/>
      <c r="O83" s="81"/>
      <c r="P83" s="81"/>
      <c r="Q83" s="81"/>
      <c r="R83" s="81"/>
      <c r="S83" s="81"/>
      <c r="T83" s="81"/>
      <c r="U83" s="80">
        <v>633.29999999999995</v>
      </c>
      <c r="V83" s="72">
        <f t="shared" si="3"/>
        <v>82.328999999999994</v>
      </c>
      <c r="W83" s="91"/>
      <c r="X83" s="91"/>
    </row>
    <row r="84" spans="2:24" x14ac:dyDescent="0.2">
      <c r="B84" s="84"/>
      <c r="C84" s="102"/>
      <c r="D84" s="103"/>
      <c r="E84" s="104"/>
      <c r="F84" s="104"/>
      <c r="G84" s="104"/>
      <c r="H84" s="30">
        <f t="shared" si="2"/>
        <v>0</v>
      </c>
      <c r="I84" s="89"/>
      <c r="J84" s="89"/>
      <c r="K84" s="90"/>
      <c r="L84" s="81"/>
      <c r="M84" s="81"/>
      <c r="N84" s="81"/>
      <c r="O84" s="81"/>
      <c r="P84" s="81"/>
      <c r="Q84" s="81"/>
      <c r="R84" s="81"/>
      <c r="S84" s="81"/>
      <c r="T84" s="81"/>
      <c r="U84" s="80"/>
      <c r="V84" s="72"/>
      <c r="W84" s="91"/>
      <c r="X84" s="91"/>
    </row>
    <row r="85" spans="2:24" x14ac:dyDescent="0.2">
      <c r="B85" s="84"/>
      <c r="C85" s="102"/>
      <c r="D85" s="103"/>
      <c r="E85" s="104"/>
      <c r="F85" s="104"/>
      <c r="G85" s="104"/>
      <c r="H85" s="30">
        <f t="shared" si="2"/>
        <v>0</v>
      </c>
      <c r="I85" s="89"/>
      <c r="J85" s="89"/>
      <c r="K85" s="90"/>
      <c r="L85" s="81"/>
      <c r="M85" s="81"/>
      <c r="N85" s="81"/>
      <c r="O85" s="81"/>
      <c r="P85" s="81"/>
      <c r="Q85" s="81"/>
      <c r="R85" s="81"/>
      <c r="S85" s="81"/>
      <c r="T85" s="81"/>
      <c r="U85" s="80"/>
      <c r="V85" s="72"/>
      <c r="W85" s="91"/>
      <c r="X85" s="91"/>
    </row>
    <row r="86" spans="2:24" x14ac:dyDescent="0.2">
      <c r="B86" s="84"/>
      <c r="C86" s="307" t="s">
        <v>837</v>
      </c>
      <c r="D86" s="308"/>
      <c r="E86" s="308"/>
      <c r="F86" s="309"/>
      <c r="G86" s="104"/>
      <c r="H86" s="30">
        <f t="shared" si="2"/>
        <v>0</v>
      </c>
      <c r="I86" s="89"/>
      <c r="J86" s="89"/>
      <c r="K86" s="90"/>
      <c r="L86" s="81"/>
      <c r="M86" s="81"/>
      <c r="N86" s="81"/>
      <c r="O86" s="81"/>
      <c r="P86" s="81"/>
      <c r="Q86" s="81"/>
      <c r="R86" s="81"/>
      <c r="S86" s="81"/>
      <c r="T86" s="81"/>
      <c r="U86" s="80"/>
      <c r="V86" s="72"/>
      <c r="W86" s="91"/>
      <c r="X86" s="91"/>
    </row>
    <row r="87" spans="2:24" x14ac:dyDescent="0.2">
      <c r="B87" s="84"/>
      <c r="C87" s="102"/>
      <c r="D87" s="103"/>
      <c r="E87" s="104"/>
      <c r="F87" s="104"/>
      <c r="G87" s="104"/>
      <c r="H87" s="30">
        <f t="shared" si="2"/>
        <v>0</v>
      </c>
      <c r="I87" s="89"/>
      <c r="J87" s="89"/>
      <c r="K87" s="90"/>
      <c r="L87" s="81"/>
      <c r="M87" s="81"/>
      <c r="N87" s="81"/>
      <c r="O87" s="81"/>
      <c r="P87" s="81"/>
      <c r="Q87" s="81"/>
      <c r="R87" s="81"/>
      <c r="S87" s="81"/>
      <c r="T87" s="81"/>
      <c r="U87" s="80">
        <v>0</v>
      </c>
      <c r="V87" s="72">
        <f t="shared" si="3"/>
        <v>0</v>
      </c>
      <c r="W87" s="91"/>
      <c r="X87" s="91"/>
    </row>
    <row r="88" spans="2:24" x14ac:dyDescent="0.2">
      <c r="B88" s="84"/>
      <c r="C88" s="102"/>
      <c r="D88" s="103"/>
      <c r="E88" s="104"/>
      <c r="F88" s="104"/>
      <c r="G88" s="104"/>
      <c r="H88" s="30">
        <f t="shared" si="2"/>
        <v>0</v>
      </c>
      <c r="I88" s="89"/>
      <c r="J88" s="89"/>
      <c r="K88" s="90"/>
      <c r="L88" s="81"/>
      <c r="M88" s="81"/>
      <c r="N88" s="81"/>
      <c r="O88" s="81"/>
      <c r="P88" s="81"/>
      <c r="Q88" s="81"/>
      <c r="R88" s="81"/>
      <c r="S88" s="81"/>
      <c r="T88" s="81"/>
      <c r="U88" s="80">
        <v>0</v>
      </c>
      <c r="V88" s="72">
        <f t="shared" si="3"/>
        <v>0</v>
      </c>
      <c r="W88" s="91"/>
      <c r="X88" s="91"/>
    </row>
    <row r="89" spans="2:24" x14ac:dyDescent="0.2">
      <c r="B89" s="84"/>
      <c r="C89" s="102"/>
      <c r="D89" s="103"/>
      <c r="E89" s="104"/>
      <c r="F89" s="104"/>
      <c r="G89" s="104"/>
      <c r="H89" s="30">
        <f t="shared" si="2"/>
        <v>0</v>
      </c>
      <c r="I89" s="89"/>
      <c r="J89" s="89"/>
      <c r="K89" s="90"/>
      <c r="L89" s="81"/>
      <c r="M89" s="81"/>
      <c r="N89" s="81"/>
      <c r="O89" s="81"/>
      <c r="P89" s="81"/>
      <c r="Q89" s="81"/>
      <c r="R89" s="81"/>
      <c r="S89" s="81"/>
      <c r="T89" s="81"/>
      <c r="U89" s="80">
        <v>0</v>
      </c>
      <c r="V89" s="72">
        <f t="shared" si="3"/>
        <v>0</v>
      </c>
      <c r="W89" s="91"/>
      <c r="X89" s="91"/>
    </row>
    <row r="90" spans="2:24" x14ac:dyDescent="0.2">
      <c r="B90" s="84"/>
      <c r="C90" s="102"/>
      <c r="D90" s="103"/>
      <c r="E90" s="104"/>
      <c r="F90" s="104"/>
      <c r="G90" s="104"/>
      <c r="H90" s="30">
        <f t="shared" si="2"/>
        <v>0</v>
      </c>
      <c r="I90" s="89"/>
      <c r="J90" s="89"/>
      <c r="K90" s="90"/>
      <c r="L90" s="81"/>
      <c r="M90" s="81"/>
      <c r="N90" s="81"/>
      <c r="O90" s="81"/>
      <c r="P90" s="81"/>
      <c r="Q90" s="81"/>
      <c r="R90" s="81"/>
      <c r="S90" s="81"/>
      <c r="T90" s="81"/>
      <c r="U90" s="80">
        <v>0</v>
      </c>
      <c r="V90" s="72">
        <f t="shared" si="3"/>
        <v>0</v>
      </c>
      <c r="W90" s="91"/>
      <c r="X90" s="91"/>
    </row>
    <row r="91" spans="2:24" ht="13.5" thickBot="1" x14ac:dyDescent="0.25">
      <c r="B91" s="84"/>
      <c r="C91" s="102"/>
      <c r="D91" s="103"/>
      <c r="E91" s="104"/>
      <c r="F91" s="104"/>
      <c r="G91" s="104"/>
      <c r="H91" s="30">
        <f t="shared" si="2"/>
        <v>0</v>
      </c>
      <c r="I91" s="89"/>
      <c r="J91" s="89"/>
      <c r="K91" s="90"/>
      <c r="L91" s="81"/>
      <c r="M91" s="81"/>
      <c r="N91" s="81"/>
      <c r="O91" s="81"/>
      <c r="P91" s="81"/>
      <c r="Q91" s="81"/>
      <c r="R91" s="81"/>
      <c r="S91" s="81"/>
      <c r="T91" s="81"/>
      <c r="U91" s="80">
        <v>0</v>
      </c>
      <c r="V91" s="72">
        <f t="shared" si="3"/>
        <v>0</v>
      </c>
      <c r="W91" s="91"/>
      <c r="X91" s="91"/>
    </row>
    <row r="92" spans="2:24" x14ac:dyDescent="0.2">
      <c r="B92" s="119"/>
      <c r="C92" s="118"/>
      <c r="D92" s="118"/>
      <c r="E92" s="118"/>
      <c r="F92" s="118"/>
      <c r="G92" s="118"/>
      <c r="H92" s="118"/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118"/>
      <c r="T92" s="118"/>
      <c r="U92" s="118"/>
      <c r="V92" s="118"/>
      <c r="W92" s="118"/>
      <c r="X92" s="118"/>
    </row>
    <row r="93" spans="2:24" x14ac:dyDescent="0.2">
      <c r="B93" s="6" t="s">
        <v>578</v>
      </c>
      <c r="C93" s="6"/>
      <c r="D93" s="6"/>
      <c r="E93" s="6"/>
      <c r="F93" s="6"/>
      <c r="G93" s="6"/>
      <c r="H93" s="82">
        <f>SUM(H29:H91)</f>
        <v>45858.075492307682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82">
        <f>SUM(U29:U91)</f>
        <v>40582.3676923077</v>
      </c>
      <c r="V93" s="82">
        <f>SUM(V29:V91)</f>
        <v>5275.7077999999992</v>
      </c>
      <c r="W93" s="82">
        <f>SUM(W29:W90)</f>
        <v>0</v>
      </c>
      <c r="X93" s="82">
        <f>SUM(X29:X90)</f>
        <v>0</v>
      </c>
    </row>
    <row r="97" spans="7:19" x14ac:dyDescent="0.2">
      <c r="H97" s="35"/>
    </row>
    <row r="98" spans="7:19" x14ac:dyDescent="0.2">
      <c r="G98" s="96"/>
    </row>
    <row r="100" spans="7:19" x14ac:dyDescent="0.2">
      <c r="H100" s="35"/>
      <c r="Q100" s="35"/>
      <c r="S100" s="35"/>
    </row>
    <row r="101" spans="7:19" x14ac:dyDescent="0.2">
      <c r="Q101" s="32"/>
      <c r="S101" s="35"/>
    </row>
    <row r="102" spans="7:19" x14ac:dyDescent="0.2">
      <c r="Q102" s="32"/>
    </row>
  </sheetData>
  <mergeCells count="48">
    <mergeCell ref="C86:F86"/>
    <mergeCell ref="E28:F28"/>
    <mergeCell ref="C13:F13"/>
    <mergeCell ref="G15:K16"/>
    <mergeCell ref="K21:K27"/>
    <mergeCell ref="C70:F70"/>
    <mergeCell ref="C41:F41"/>
    <mergeCell ref="C52:F52"/>
    <mergeCell ref="H19:H27"/>
    <mergeCell ref="I21:I27"/>
    <mergeCell ref="L21:L27"/>
    <mergeCell ref="B19:B27"/>
    <mergeCell ref="C19:D20"/>
    <mergeCell ref="E19:G20"/>
    <mergeCell ref="C21:C27"/>
    <mergeCell ref="D21:D27"/>
    <mergeCell ref="E21:F27"/>
    <mergeCell ref="G21:G27"/>
    <mergeCell ref="J21:J27"/>
    <mergeCell ref="C9:F9"/>
    <mergeCell ref="C10:F10"/>
    <mergeCell ref="C11:F12"/>
    <mergeCell ref="A1:F2"/>
    <mergeCell ref="C3:F3"/>
    <mergeCell ref="C4:F5"/>
    <mergeCell ref="C6:F6"/>
    <mergeCell ref="C7:F8"/>
    <mergeCell ref="M21:M27"/>
    <mergeCell ref="N21:N27"/>
    <mergeCell ref="O21:O27"/>
    <mergeCell ref="P21:P27"/>
    <mergeCell ref="M15:O16"/>
    <mergeCell ref="U2:V2"/>
    <mergeCell ref="V23:V27"/>
    <mergeCell ref="W23:W27"/>
    <mergeCell ref="X23:X27"/>
    <mergeCell ref="P15:R16"/>
    <mergeCell ref="T17:W17"/>
    <mergeCell ref="Q21:Q27"/>
    <mergeCell ref="R21:R27"/>
    <mergeCell ref="S23:S27"/>
    <mergeCell ref="T23:T27"/>
    <mergeCell ref="U23:U27"/>
    <mergeCell ref="S19:X20"/>
    <mergeCell ref="S21:T22"/>
    <mergeCell ref="U21:V22"/>
    <mergeCell ref="W21:X22"/>
    <mergeCell ref="I19:R20"/>
  </mergeCells>
  <pageMargins left="0.70866141732283472" right="1.6929133858267718" top="0.74803149606299213" bottom="0.74803149606299213" header="0.31496062992125984" footer="0.31496062992125984"/>
  <pageSetup paperSize="9" scale="3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V91"/>
  <sheetViews>
    <sheetView showZeros="0" topLeftCell="A44" zoomScaleNormal="100" workbookViewId="0">
      <selection activeCell="J31" sqref="J31:J77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11.75" customWidth="1"/>
    <col min="11" max="11" width="10.125" bestFit="1" customWidth="1"/>
    <col min="12" max="12" width="32.25" bestFit="1" customWidth="1"/>
    <col min="13" max="13" width="23.125" bestFit="1" customWidth="1"/>
    <col min="14" max="14" width="12.5" bestFit="1" customWidth="1"/>
    <col min="15" max="15" width="18.125" bestFit="1" customWidth="1"/>
    <col min="16" max="16" width="12.5" bestFit="1" customWidth="1"/>
    <col min="17" max="17" width="18.125" bestFit="1" customWidth="1"/>
    <col min="18" max="18" width="12.5" bestFit="1" customWidth="1"/>
    <col min="19" max="19" width="18.125" bestFit="1" customWidth="1"/>
    <col min="20" max="20" width="10" customWidth="1"/>
  </cols>
  <sheetData>
    <row r="1" spans="1:18" x14ac:dyDescent="0.2">
      <c r="A1" s="281" t="str">
        <f>NASLOV!B5</f>
        <v>Markus Renz</v>
      </c>
      <c r="B1" s="281"/>
      <c r="C1" s="281"/>
      <c r="D1" s="281"/>
      <c r="E1" s="281"/>
      <c r="F1" s="281"/>
    </row>
    <row r="2" spans="1:18" x14ac:dyDescent="0.2">
      <c r="A2" s="281"/>
      <c r="B2" s="281"/>
      <c r="C2" s="281"/>
      <c r="D2" s="281"/>
      <c r="E2" s="281"/>
      <c r="F2" s="281"/>
    </row>
    <row r="3" spans="1:18" x14ac:dyDescent="0.2">
      <c r="C3" s="259" t="str">
        <f>INDEX(PRIJEVODI!B:D,MATCH("URIC-001",PRIJEVODI!A:A,0),MATCH(NASLOV!$B$2,PRIJEVODI!$B$1:$D$1,0))</f>
        <v>STEUERPFLICHTIGER: NAME / NACHNAME</v>
      </c>
      <c r="D3" s="259"/>
      <c r="E3" s="259"/>
      <c r="F3" s="259"/>
      <c r="Q3" s="267"/>
      <c r="R3" s="267"/>
    </row>
    <row r="4" spans="1:18" x14ac:dyDescent="0.2">
      <c r="C4" s="280" t="str">
        <f>NASLOV!B7</f>
        <v>Am Sonnblick 6, Lichtenau</v>
      </c>
      <c r="D4" s="280"/>
      <c r="E4" s="280"/>
      <c r="F4" s="280"/>
    </row>
    <row r="5" spans="1:18" x14ac:dyDescent="0.2">
      <c r="C5" s="280"/>
      <c r="D5" s="280"/>
      <c r="E5" s="280"/>
      <c r="F5" s="280"/>
    </row>
    <row r="6" spans="1:18" x14ac:dyDescent="0.2">
      <c r="C6" s="259" t="str">
        <f>INDEX(PRIJEVODI!B:D,MATCH("URIC-002",PRIJEVODI!A:A,0),MATCH(NASLOV!$B$2,PRIJEVODI!$B$1:$D$1,0))</f>
        <v>ADRESSE: ORT, STRASSE UND HAUSNUMMER</v>
      </c>
      <c r="D6" s="259"/>
      <c r="E6" s="259"/>
      <c r="F6" s="259"/>
    </row>
    <row r="7" spans="1:18" x14ac:dyDescent="0.2">
      <c r="C7" s="282"/>
      <c r="D7" s="282"/>
      <c r="E7" s="282"/>
      <c r="F7" s="282"/>
    </row>
    <row r="8" spans="1:18" x14ac:dyDescent="0.2">
      <c r="C8" s="282"/>
      <c r="D8" s="282"/>
      <c r="E8" s="282"/>
      <c r="F8" s="282"/>
    </row>
    <row r="9" spans="1:18" x14ac:dyDescent="0.2">
      <c r="C9" s="259" t="str">
        <f>INDEX(PRIJEVODI!B:D,MATCH("URIC-003",PRIJEVODI!A:A,0),MATCH(NASLOV!$B$2,PRIJEVODI!$B$1:$D$1,0))</f>
        <v xml:space="preserve">NUMMERIERUNG GEMÄSS DEM NATIONALEN KLASSIFIZIERUNGSSYSTEM  </v>
      </c>
      <c r="D9" s="259"/>
      <c r="E9" s="259"/>
      <c r="F9" s="259"/>
    </row>
    <row r="10" spans="1:18" x14ac:dyDescent="0.2">
      <c r="C10" s="259"/>
      <c r="D10" s="259"/>
      <c r="E10" s="259"/>
      <c r="F10" s="259"/>
    </row>
    <row r="11" spans="1:18" x14ac:dyDescent="0.2">
      <c r="C11" s="280" t="str">
        <f>NASLOV!B9</f>
        <v>HR6411581446</v>
      </c>
      <c r="D11" s="280"/>
      <c r="E11" s="280"/>
      <c r="F11" s="280"/>
    </row>
    <row r="12" spans="1:18" x14ac:dyDescent="0.2">
      <c r="C12" s="280"/>
      <c r="D12" s="280"/>
      <c r="E12" s="280"/>
      <c r="F12" s="280"/>
    </row>
    <row r="13" spans="1:18" x14ac:dyDescent="0.2">
      <c r="C13" s="259" t="str">
        <f>INDEX(PRIJEVODI!B:D,MATCH("URIC-004",PRIJEVODI!A:A,0),MATCH(NASLOV!$B$2,PRIJEVODI!$B$1:$D$1,0))</f>
        <v>STEUERNUMMER (UID)</v>
      </c>
      <c r="D13" s="259"/>
      <c r="E13" s="259"/>
      <c r="F13" s="259"/>
    </row>
    <row r="15" spans="1:18" x14ac:dyDescent="0.2">
      <c r="G15" s="306" t="str">
        <f>INDEX(PRIJEVODI!B:D,MATCH("URIC-005",PRIJEVODI!A:A,0),MATCH(NASLOV!$B$2,PRIJEVODI!$B$1:$D$1,0))</f>
        <v>EINGANGSRECHNUNGBUCH - IG ERWERB</v>
      </c>
      <c r="H15" s="267"/>
      <c r="I15" s="267"/>
      <c r="J15" s="267"/>
      <c r="K15" s="267"/>
      <c r="L15" s="1"/>
    </row>
    <row r="16" spans="1:18" x14ac:dyDescent="0.2">
      <c r="G16" s="267"/>
      <c r="H16" s="267"/>
      <c r="I16" s="267"/>
      <c r="J16" s="267"/>
      <c r="K16" s="267"/>
      <c r="L16" s="1"/>
      <c r="O16" s="267" t="str">
        <f>INDEX(PRIJEVODI!B:D,MATCH("URIC-006",PRIJEVODI!A:A,0),MATCH(NASLOV!$B$2,PRIJEVODI!$B$1:$D$1,0))</f>
        <v>BETRAG IN KUNA UND LIPA</v>
      </c>
      <c r="P16" s="267"/>
      <c r="Q16" s="267"/>
      <c r="R16" s="267"/>
    </row>
    <row r="19" spans="1:22" ht="12.75" customHeight="1" x14ac:dyDescent="0.2">
      <c r="B19" s="283" t="str">
        <f>INDEX(PRIJEVODI!B:D,MATCH("URIC-007",PRIJEVODI!A:A,0),MATCH(NASLOV!$B$2,PRIJEVODI!$B$1:$D$1,0))</f>
        <v xml:space="preserve">ORDNUNGSNUMMER </v>
      </c>
      <c r="C19" s="271" t="str">
        <f>INDEX(PRIJEVODI!B:D,MATCH("URIC-008",PRIJEVODI!A:A,0),MATCH(NASLOV!$B$2,PRIJEVODI!$B$1:$D$1,0))</f>
        <v>RECHNUNG</v>
      </c>
      <c r="D19" s="286"/>
      <c r="E19" s="331" t="str">
        <f>INDEX(PRIJEVODI!B:D,MATCH("URIC-011",PRIJEVODI!A:A,0),MATCH(NASLOV!$B$2,PRIJEVODI!$B$1:$D$1,0))</f>
        <v>LIEFERANT (ANBIETER VON WAREN UND DIENSTLEISTUNGEN)</v>
      </c>
      <c r="F19" s="322"/>
      <c r="G19" s="322"/>
      <c r="H19" s="322"/>
      <c r="I19" s="322"/>
      <c r="J19" s="322"/>
      <c r="K19" s="322"/>
      <c r="L19" s="322"/>
      <c r="M19" s="323"/>
      <c r="N19" s="271" t="str">
        <f>INDEX(PRIJEVODI!B:D,MATCH("URIC-020",PRIJEVODI!A:A,0),MATCH(NASLOV!$B$2,PRIJEVODI!$B$1:$D$1,0))</f>
        <v>STEUER</v>
      </c>
      <c r="O19" s="272"/>
      <c r="P19" s="272"/>
      <c r="Q19" s="272"/>
      <c r="R19" s="272"/>
      <c r="S19" s="278"/>
      <c r="T19" s="328" t="s">
        <v>603</v>
      </c>
      <c r="U19" s="329" t="s">
        <v>604</v>
      </c>
    </row>
    <row r="20" spans="1:22" x14ac:dyDescent="0.2">
      <c r="B20" s="284"/>
      <c r="C20" s="287"/>
      <c r="D20" s="288"/>
      <c r="E20" s="265"/>
      <c r="F20" s="326"/>
      <c r="G20" s="326"/>
      <c r="H20" s="326"/>
      <c r="I20" s="326"/>
      <c r="J20" s="326"/>
      <c r="K20" s="326"/>
      <c r="L20" s="326"/>
      <c r="M20" s="327"/>
      <c r="N20" s="274"/>
      <c r="O20" s="275"/>
      <c r="P20" s="275"/>
      <c r="Q20" s="275"/>
      <c r="R20" s="275"/>
      <c r="S20" s="276"/>
      <c r="T20" s="328"/>
      <c r="U20" s="329"/>
    </row>
    <row r="21" spans="1:22" ht="12.75" customHeight="1" x14ac:dyDescent="0.2">
      <c r="B21" s="284"/>
      <c r="C21" s="260" t="str">
        <f>INDEX(PRIJEVODI!B:D,MATCH("URIC-009",PRIJEVODI!A:A,0),MATCH(NASLOV!$B$2,PRIJEVODI!$B$1:$D$1,0))</f>
        <v xml:space="preserve">NUMMER </v>
      </c>
      <c r="D21" s="260" t="str">
        <f>INDEX(PRIJEVODI!B:D,MATCH("URIC-010",PRIJEVODI!A:A,0),MATCH(NASLOV!$B$2,PRIJEVODI!$B$1:$D$1,0))</f>
        <v>DATUM</v>
      </c>
      <c r="E21" s="295" t="str">
        <f>INDEX(PRIJEVODI!B:D,MATCH("URIC-012",PRIJEVODI!A:A,0),MATCH(NASLOV!$B$2,PRIJEVODI!$B$1:$D$1,0))</f>
        <v>TITEL - NAME UND NACHNAME, GESCHÄFTSSITZ / SITZORT</v>
      </c>
      <c r="F21" s="296"/>
      <c r="G21" s="301" t="str">
        <f>INDEX(PRIJEVODI!B:D,MATCH("URIC-013",PRIJEVODI!A:A,0),MATCH(NASLOV!$B$2,PRIJEVODI!$B$1:$D$1,0))</f>
        <v>STEUERNUMMER (UID)</v>
      </c>
      <c r="H21" s="263" t="str">
        <f>INDEX(PRIJEVODI!B:D,MATCH("URIC-014",PRIJEVODI!A:A,0),MATCH(NASLOV!$B$2,PRIJEVODI!$B$1:$D$1,0))</f>
        <v>LIEFERWERT</v>
      </c>
      <c r="I21" s="322"/>
      <c r="J21" s="323"/>
      <c r="K21" s="301" t="str">
        <f>INDEX(PRIJEVODI!B:D,MATCH("URIC-018",PRIJEVODI!A:A,0),MATCH(NASLOV!$B$2,PRIJEVODI!$B$1:$D$1,0))</f>
        <v>GESAMTBETRAG DER RECHNUNG INKLUSIVE MwST.</v>
      </c>
      <c r="L21" s="45"/>
      <c r="M21" s="260" t="str">
        <f>INDEX(PRIJEVODI!B:D,MATCH("URIC-030",PRIJEVODI!A:A,0),MATCH(NASLOV!$B$2,PRIJEVODI!$B$1:$D$1,0))</f>
        <v>TOTAL</v>
      </c>
      <c r="N21" s="277">
        <v>0.05</v>
      </c>
      <c r="O21" s="278"/>
      <c r="P21" s="277">
        <v>0.13</v>
      </c>
      <c r="Q21" s="278"/>
      <c r="R21" s="277">
        <v>0.25</v>
      </c>
      <c r="S21" s="278"/>
      <c r="T21" s="328"/>
      <c r="U21" s="329"/>
    </row>
    <row r="22" spans="1:22" x14ac:dyDescent="0.2">
      <c r="B22" s="284"/>
      <c r="C22" s="261"/>
      <c r="D22" s="261"/>
      <c r="E22" s="297"/>
      <c r="F22" s="298"/>
      <c r="G22" s="302"/>
      <c r="H22" s="264"/>
      <c r="I22" s="324"/>
      <c r="J22" s="325"/>
      <c r="K22" s="302"/>
      <c r="L22" s="46"/>
      <c r="M22" s="261"/>
      <c r="N22" s="274"/>
      <c r="O22" s="276"/>
      <c r="P22" s="274"/>
      <c r="Q22" s="276"/>
      <c r="R22" s="274"/>
      <c r="S22" s="276"/>
      <c r="T22" s="328"/>
      <c r="U22" s="329"/>
    </row>
    <row r="23" spans="1:22" x14ac:dyDescent="0.2">
      <c r="B23" s="284"/>
      <c r="C23" s="261"/>
      <c r="D23" s="261"/>
      <c r="E23" s="297"/>
      <c r="F23" s="298"/>
      <c r="G23" s="302"/>
      <c r="H23" s="264"/>
      <c r="I23" s="324"/>
      <c r="J23" s="325"/>
      <c r="K23" s="302"/>
      <c r="L23" s="46"/>
      <c r="M23" s="261"/>
      <c r="N23" s="301" t="str">
        <f>INDEX(PRIJEVODI!B:D,MATCH("URIC-022",PRIJEVODI!A:A,0),MATCH(NASLOV!$B$2,PRIJEVODI!$B$1:$D$1,0))</f>
        <v>ABZUGSFÄHIG</v>
      </c>
      <c r="O23" s="301" t="str">
        <f>INDEX(PRIJEVODI!B:D,MATCH("URIC-023",PRIJEVODI!A:A,0),MATCH(NASLOV!$B$2,PRIJEVODI!$B$1:$D$1,0))</f>
        <v>NICHT ABZUGSFÄHIG</v>
      </c>
      <c r="P23" s="301" t="str">
        <f>INDEX(PRIJEVODI!B:D,MATCH("URIC-025",PRIJEVODI!A:A,0),MATCH(NASLOV!$B$2,PRIJEVODI!$B$1:$D$1,0))</f>
        <v>ABZUGSFÄHIG</v>
      </c>
      <c r="Q23" s="301" t="str">
        <f>INDEX(PRIJEVODI!B:D,MATCH("URIC-026",PRIJEVODI!A:A,0),MATCH(NASLOV!$B$2,PRIJEVODI!$B$1:$D$1,0))</f>
        <v>NICHT ABZUGSFÄHIG</v>
      </c>
      <c r="R23" s="301" t="str">
        <f>INDEX(PRIJEVODI!B:D,MATCH("URIC-028",PRIJEVODI!A:A,0),MATCH(NASLOV!$B$2,PRIJEVODI!$B$1:$D$1,0))</f>
        <v>ABZUGSFÄHIG</v>
      </c>
      <c r="S23" s="301" t="str">
        <f>INDEX(PRIJEVODI!B:D,MATCH("URIC-029",PRIJEVODI!A:A,0),MATCH(NASLOV!$B$2,PRIJEVODI!$B$1:$D$1,0))</f>
        <v>NICHT ABZUGSFÄHIG</v>
      </c>
      <c r="T23" s="328"/>
      <c r="U23" s="329"/>
    </row>
    <row r="24" spans="1:22" x14ac:dyDescent="0.2">
      <c r="B24" s="284"/>
      <c r="C24" s="261"/>
      <c r="D24" s="261"/>
      <c r="E24" s="297"/>
      <c r="F24" s="298"/>
      <c r="G24" s="302"/>
      <c r="H24" s="264"/>
      <c r="I24" s="324"/>
      <c r="J24" s="325"/>
      <c r="K24" s="302"/>
      <c r="L24" s="48" t="str">
        <f>INDEX(PRIJEVODI!B:D,MATCH("URIC-019",PRIJEVODI!A:A,0),MATCH(NASLOV!$B$2,PRIJEVODI!$B$1:$D$1,0))</f>
        <v>STEUERBEFREIUNGEN / ABZUGSFÄHIG</v>
      </c>
      <c r="M24" s="261"/>
      <c r="N24" s="302"/>
      <c r="O24" s="302"/>
      <c r="P24" s="302"/>
      <c r="Q24" s="302"/>
      <c r="R24" s="302"/>
      <c r="S24" s="302"/>
      <c r="T24" s="328"/>
      <c r="U24" s="329"/>
    </row>
    <row r="25" spans="1:22" x14ac:dyDescent="0.2">
      <c r="B25" s="284"/>
      <c r="C25" s="261"/>
      <c r="D25" s="261"/>
      <c r="E25" s="297"/>
      <c r="F25" s="298"/>
      <c r="G25" s="302"/>
      <c r="H25" s="265"/>
      <c r="I25" s="326"/>
      <c r="J25" s="327"/>
      <c r="K25" s="302"/>
      <c r="L25" s="46"/>
      <c r="M25" s="261"/>
      <c r="N25" s="302"/>
      <c r="O25" s="302"/>
      <c r="P25" s="302"/>
      <c r="Q25" s="302"/>
      <c r="R25" s="302"/>
      <c r="S25" s="302"/>
      <c r="T25" s="328"/>
      <c r="U25" s="329"/>
    </row>
    <row r="26" spans="1:22" x14ac:dyDescent="0.2">
      <c r="B26" s="284"/>
      <c r="C26" s="261"/>
      <c r="D26" s="261"/>
      <c r="E26" s="297"/>
      <c r="F26" s="298"/>
      <c r="G26" s="302"/>
      <c r="H26" s="330">
        <v>0.05</v>
      </c>
      <c r="I26" s="330">
        <v>0.1</v>
      </c>
      <c r="J26" s="330">
        <v>0.25</v>
      </c>
      <c r="K26" s="302"/>
      <c r="L26" s="46"/>
      <c r="M26" s="261"/>
      <c r="N26" s="302"/>
      <c r="O26" s="302"/>
      <c r="P26" s="302"/>
      <c r="Q26" s="302"/>
      <c r="R26" s="302"/>
      <c r="S26" s="302"/>
      <c r="T26" s="328"/>
      <c r="U26" s="329"/>
    </row>
    <row r="27" spans="1:22" x14ac:dyDescent="0.2">
      <c r="B27" s="285"/>
      <c r="C27" s="262"/>
      <c r="D27" s="262"/>
      <c r="E27" s="299"/>
      <c r="F27" s="300"/>
      <c r="G27" s="303"/>
      <c r="H27" s="262"/>
      <c r="I27" s="262"/>
      <c r="J27" s="262"/>
      <c r="K27" s="303"/>
      <c r="L27" s="47"/>
      <c r="M27" s="262"/>
      <c r="N27" s="303"/>
      <c r="O27" s="303"/>
      <c r="P27" s="303"/>
      <c r="Q27" s="303"/>
      <c r="R27" s="303"/>
      <c r="S27" s="303"/>
      <c r="T27" s="328"/>
      <c r="U27" s="329"/>
    </row>
    <row r="28" spans="1:22" x14ac:dyDescent="0.2">
      <c r="A28" t="s">
        <v>606</v>
      </c>
      <c r="B28" s="33">
        <v>1</v>
      </c>
      <c r="C28" s="33">
        <v>2</v>
      </c>
      <c r="D28" s="33">
        <v>3</v>
      </c>
      <c r="E28" s="263">
        <v>4</v>
      </c>
      <c r="F28" s="323"/>
      <c r="G28" s="33">
        <v>5</v>
      </c>
      <c r="H28" s="33">
        <v>6</v>
      </c>
      <c r="I28" s="33">
        <v>7</v>
      </c>
      <c r="J28" s="33">
        <v>8</v>
      </c>
      <c r="K28" s="33">
        <v>9</v>
      </c>
      <c r="L28" s="33"/>
      <c r="M28" s="3" t="s">
        <v>0</v>
      </c>
      <c r="N28" s="3">
        <v>11</v>
      </c>
      <c r="O28" s="4">
        <v>12</v>
      </c>
      <c r="P28" s="3">
        <v>13</v>
      </c>
      <c r="Q28" s="4">
        <v>14</v>
      </c>
      <c r="R28" s="3">
        <v>15</v>
      </c>
      <c r="S28" s="4">
        <v>16</v>
      </c>
      <c r="T28" s="328"/>
      <c r="U28" s="329"/>
      <c r="V28" s="1" t="s">
        <v>581</v>
      </c>
    </row>
    <row r="29" spans="1:22" x14ac:dyDescent="0.2">
      <c r="A29" s="1"/>
      <c r="B29" s="3"/>
      <c r="C29" s="117"/>
      <c r="D29" s="39"/>
      <c r="E29" s="107"/>
      <c r="F29" s="2"/>
      <c r="G29" s="74"/>
      <c r="H29" s="2"/>
      <c r="I29" s="2"/>
      <c r="J29" s="108">
        <f>+V29*U29</f>
        <v>0</v>
      </c>
      <c r="K29" s="30">
        <f>J29+M29</f>
        <v>0</v>
      </c>
      <c r="L29" s="34"/>
      <c r="M29" s="114">
        <f>SUM(N29:S29)</f>
        <v>0</v>
      </c>
      <c r="N29" s="2"/>
      <c r="O29" s="2"/>
      <c r="P29" s="2"/>
      <c r="Q29" s="2"/>
      <c r="R29" s="30">
        <f>J29*0.25</f>
        <v>0</v>
      </c>
      <c r="S29" s="2"/>
      <c r="T29" t="s">
        <v>602</v>
      </c>
      <c r="U29" s="109">
        <v>1</v>
      </c>
    </row>
    <row r="30" spans="1:22" x14ac:dyDescent="0.2">
      <c r="A30" s="1"/>
      <c r="B30" s="5"/>
      <c r="C30" s="78"/>
      <c r="D30" s="39"/>
      <c r="E30" s="107"/>
      <c r="F30" s="2"/>
      <c r="G30" s="74"/>
      <c r="H30" s="2"/>
      <c r="I30" s="2"/>
      <c r="J30" s="108">
        <f>+V30*U30</f>
        <v>0</v>
      </c>
      <c r="K30" s="30">
        <f>J30+M30</f>
        <v>0</v>
      </c>
      <c r="L30" s="34"/>
      <c r="M30" s="114">
        <f t="shared" ref="M30:M42" si="0">SUM(N30:S30)</f>
        <v>0</v>
      </c>
      <c r="N30" s="2"/>
      <c r="O30" s="2"/>
      <c r="P30" s="2"/>
      <c r="Q30" s="2"/>
      <c r="R30" s="30">
        <f t="shared" ref="R30:R42" si="1">J30*0.25</f>
        <v>0</v>
      </c>
      <c r="S30" s="2"/>
      <c r="T30" t="s">
        <v>602</v>
      </c>
      <c r="U30" s="109">
        <v>1</v>
      </c>
    </row>
    <row r="31" spans="1:22" x14ac:dyDescent="0.2">
      <c r="A31" s="190">
        <v>85</v>
      </c>
      <c r="B31" s="5">
        <v>17</v>
      </c>
      <c r="C31" s="78">
        <v>1597999873</v>
      </c>
      <c r="D31" s="39">
        <v>45202</v>
      </c>
      <c r="E31" s="107" t="s">
        <v>615</v>
      </c>
      <c r="F31" s="2" t="s">
        <v>616</v>
      </c>
      <c r="G31" s="74" t="s">
        <v>596</v>
      </c>
      <c r="H31" s="2"/>
      <c r="I31" s="2"/>
      <c r="J31" s="108">
        <f t="shared" ref="J31:J42" si="2">+V31*U31</f>
        <v>497.37</v>
      </c>
      <c r="K31" s="30">
        <f t="shared" ref="K31:K42" si="3">J31+M31</f>
        <v>621.71249999999998</v>
      </c>
      <c r="L31" s="34"/>
      <c r="M31" s="114">
        <f t="shared" si="0"/>
        <v>124.3425</v>
      </c>
      <c r="N31" s="2"/>
      <c r="O31" s="2"/>
      <c r="P31" s="2"/>
      <c r="Q31" s="2"/>
      <c r="R31" s="30">
        <f t="shared" si="1"/>
        <v>124.3425</v>
      </c>
      <c r="S31" s="2"/>
      <c r="T31" t="s">
        <v>602</v>
      </c>
      <c r="U31" s="109">
        <v>1</v>
      </c>
      <c r="V31">
        <v>497.37</v>
      </c>
    </row>
    <row r="32" spans="1:22" ht="13.5" thickBot="1" x14ac:dyDescent="0.25">
      <c r="A32" s="192">
        <v>86</v>
      </c>
      <c r="B32" s="165">
        <v>18</v>
      </c>
      <c r="C32" s="166" t="s">
        <v>617</v>
      </c>
      <c r="D32" s="159">
        <v>45207</v>
      </c>
      <c r="E32" s="158" t="s">
        <v>618</v>
      </c>
      <c r="F32" s="160" t="s">
        <v>619</v>
      </c>
      <c r="G32" s="167" t="s">
        <v>620</v>
      </c>
      <c r="H32" s="2"/>
      <c r="I32" s="2"/>
      <c r="J32" s="108">
        <f t="shared" si="2"/>
        <v>723.31</v>
      </c>
      <c r="K32" s="30">
        <f t="shared" si="3"/>
        <v>904.13749999999993</v>
      </c>
      <c r="L32" s="34"/>
      <c r="M32" s="114">
        <f t="shared" si="0"/>
        <v>180.82749999999999</v>
      </c>
      <c r="N32" s="2"/>
      <c r="O32" s="2"/>
      <c r="P32" s="2"/>
      <c r="Q32" s="2"/>
      <c r="R32" s="30">
        <f t="shared" si="1"/>
        <v>180.82749999999999</v>
      </c>
      <c r="S32" s="2"/>
      <c r="T32" t="s">
        <v>602</v>
      </c>
      <c r="U32" s="109">
        <v>1</v>
      </c>
      <c r="V32">
        <v>723.31</v>
      </c>
    </row>
    <row r="33" spans="1:22" x14ac:dyDescent="0.2">
      <c r="A33" s="190"/>
      <c r="B33" s="134"/>
      <c r="C33" s="162"/>
      <c r="D33" s="141"/>
      <c r="E33" s="137"/>
      <c r="F33" s="154"/>
      <c r="G33" s="163"/>
      <c r="H33" s="2"/>
      <c r="I33" s="2"/>
      <c r="J33" s="108">
        <f t="shared" si="2"/>
        <v>0</v>
      </c>
      <c r="K33" s="30">
        <f t="shared" si="3"/>
        <v>0</v>
      </c>
      <c r="L33" s="34"/>
      <c r="M33" s="114">
        <f t="shared" si="0"/>
        <v>0</v>
      </c>
      <c r="N33" s="2"/>
      <c r="O33" s="2"/>
      <c r="P33" s="2"/>
      <c r="Q33" s="2"/>
      <c r="R33" s="30">
        <f t="shared" si="1"/>
        <v>0</v>
      </c>
      <c r="S33" s="2"/>
      <c r="T33" t="s">
        <v>602</v>
      </c>
      <c r="U33" s="109">
        <v>1</v>
      </c>
    </row>
    <row r="34" spans="1:22" ht="13.5" thickBot="1" x14ac:dyDescent="0.25">
      <c r="A34" s="190">
        <v>5</v>
      </c>
      <c r="B34" s="133">
        <v>1</v>
      </c>
      <c r="C34" s="171">
        <v>757542534</v>
      </c>
      <c r="D34" s="149">
        <v>45310</v>
      </c>
      <c r="E34" s="148" t="s">
        <v>647</v>
      </c>
      <c r="F34" s="145" t="s">
        <v>648</v>
      </c>
      <c r="G34" s="126" t="s">
        <v>649</v>
      </c>
      <c r="H34" s="2"/>
      <c r="I34" s="2"/>
      <c r="J34" s="108">
        <f t="shared" si="2"/>
        <v>85.34</v>
      </c>
      <c r="K34" s="30">
        <f t="shared" si="3"/>
        <v>106.67500000000001</v>
      </c>
      <c r="L34" s="34"/>
      <c r="M34" s="114">
        <f t="shared" si="0"/>
        <v>21.335000000000001</v>
      </c>
      <c r="N34" s="2"/>
      <c r="O34" s="2"/>
      <c r="P34" s="2"/>
      <c r="Q34" s="2"/>
      <c r="R34" s="30">
        <f t="shared" si="1"/>
        <v>21.335000000000001</v>
      </c>
      <c r="S34" s="2"/>
      <c r="T34" t="s">
        <v>602</v>
      </c>
      <c r="U34" s="109">
        <v>1</v>
      </c>
      <c r="V34">
        <v>85.34</v>
      </c>
    </row>
    <row r="35" spans="1:22" x14ac:dyDescent="0.2">
      <c r="A35" s="193">
        <v>11</v>
      </c>
      <c r="B35" s="18">
        <v>2</v>
      </c>
      <c r="C35" s="172" t="s">
        <v>654</v>
      </c>
      <c r="D35" s="150">
        <v>45323</v>
      </c>
      <c r="E35" s="143" t="s">
        <v>655</v>
      </c>
      <c r="F35" s="151" t="s">
        <v>656</v>
      </c>
      <c r="G35" s="121" t="s">
        <v>657</v>
      </c>
      <c r="H35" s="2"/>
      <c r="I35" s="2"/>
      <c r="J35" s="108">
        <f t="shared" si="2"/>
        <v>1.8</v>
      </c>
      <c r="K35" s="30">
        <f t="shared" si="3"/>
        <v>2.25</v>
      </c>
      <c r="L35" s="34"/>
      <c r="M35" s="114">
        <f t="shared" si="0"/>
        <v>0.45</v>
      </c>
      <c r="N35" s="2"/>
      <c r="O35" s="2"/>
      <c r="P35" s="2"/>
      <c r="Q35" s="2"/>
      <c r="R35" s="30">
        <f t="shared" si="1"/>
        <v>0.45</v>
      </c>
      <c r="S35" s="2"/>
      <c r="T35" t="s">
        <v>602</v>
      </c>
      <c r="U35" s="109">
        <v>1</v>
      </c>
      <c r="V35">
        <v>1.8</v>
      </c>
    </row>
    <row r="36" spans="1:22" x14ac:dyDescent="0.2">
      <c r="A36" s="190">
        <v>12</v>
      </c>
      <c r="B36" s="5">
        <v>3</v>
      </c>
      <c r="C36" s="78" t="s">
        <v>658</v>
      </c>
      <c r="D36" s="39">
        <v>45324</v>
      </c>
      <c r="E36" s="107" t="s">
        <v>659</v>
      </c>
      <c r="F36" s="2" t="s">
        <v>660</v>
      </c>
      <c r="G36" s="74" t="s">
        <v>661</v>
      </c>
      <c r="H36" s="2"/>
      <c r="I36" s="2"/>
      <c r="J36" s="108">
        <f t="shared" si="2"/>
        <v>144.38</v>
      </c>
      <c r="K36" s="30">
        <f t="shared" si="3"/>
        <v>180.47499999999999</v>
      </c>
      <c r="L36" s="34"/>
      <c r="M36" s="114">
        <f t="shared" si="0"/>
        <v>36.094999999999999</v>
      </c>
      <c r="N36" s="2"/>
      <c r="O36" s="2"/>
      <c r="P36" s="2"/>
      <c r="Q36" s="2"/>
      <c r="R36" s="30">
        <f t="shared" si="1"/>
        <v>36.094999999999999</v>
      </c>
      <c r="S36" s="2"/>
      <c r="U36" s="109">
        <v>1</v>
      </c>
      <c r="V36">
        <v>144.38</v>
      </c>
    </row>
    <row r="37" spans="1:22" x14ac:dyDescent="0.2">
      <c r="A37" s="190">
        <v>13</v>
      </c>
      <c r="B37" s="5">
        <v>4</v>
      </c>
      <c r="C37" s="78">
        <v>109400722718</v>
      </c>
      <c r="D37" s="39">
        <v>45327</v>
      </c>
      <c r="E37" s="107" t="s">
        <v>662</v>
      </c>
      <c r="F37" s="2" t="s">
        <v>663</v>
      </c>
      <c r="G37" s="74" t="s">
        <v>664</v>
      </c>
      <c r="H37" s="2"/>
      <c r="I37" s="2"/>
      <c r="J37" s="108">
        <f t="shared" si="2"/>
        <v>510.92</v>
      </c>
      <c r="K37" s="30">
        <f t="shared" si="3"/>
        <v>638.65</v>
      </c>
      <c r="L37" s="34"/>
      <c r="M37" s="114">
        <f t="shared" si="0"/>
        <v>127.73</v>
      </c>
      <c r="N37" s="2"/>
      <c r="O37" s="2"/>
      <c r="P37" s="2"/>
      <c r="Q37" s="2"/>
      <c r="R37" s="30">
        <f t="shared" si="1"/>
        <v>127.73</v>
      </c>
      <c r="S37" s="2"/>
      <c r="T37" t="s">
        <v>602</v>
      </c>
      <c r="U37" s="109">
        <v>1</v>
      </c>
      <c r="V37">
        <v>510.92</v>
      </c>
    </row>
    <row r="38" spans="1:22" x14ac:dyDescent="0.2">
      <c r="A38" s="190">
        <v>20</v>
      </c>
      <c r="B38" s="5">
        <v>5</v>
      </c>
      <c r="C38" s="78">
        <v>20231670</v>
      </c>
      <c r="D38" s="39">
        <v>45343</v>
      </c>
      <c r="E38" s="107" t="s">
        <v>669</v>
      </c>
      <c r="F38" s="2" t="s">
        <v>670</v>
      </c>
      <c r="G38" s="74" t="s">
        <v>671</v>
      </c>
      <c r="H38" s="2"/>
      <c r="I38" s="2"/>
      <c r="J38" s="108">
        <f t="shared" si="2"/>
        <v>1699.44</v>
      </c>
      <c r="K38" s="30">
        <f t="shared" si="3"/>
        <v>2124.3000000000002</v>
      </c>
      <c r="L38" s="34"/>
      <c r="M38" s="114">
        <f t="shared" si="0"/>
        <v>424.86</v>
      </c>
      <c r="N38" s="2"/>
      <c r="O38" s="2"/>
      <c r="P38" s="2"/>
      <c r="Q38" s="2"/>
      <c r="R38" s="30">
        <f t="shared" si="1"/>
        <v>424.86</v>
      </c>
      <c r="S38" s="2"/>
      <c r="T38" t="s">
        <v>602</v>
      </c>
      <c r="U38" s="109">
        <v>1</v>
      </c>
      <c r="V38">
        <v>1699.44</v>
      </c>
    </row>
    <row r="39" spans="1:22" x14ac:dyDescent="0.2">
      <c r="A39" s="190">
        <v>21</v>
      </c>
      <c r="B39" s="5">
        <v>6</v>
      </c>
      <c r="C39" s="78">
        <v>20231671</v>
      </c>
      <c r="D39" s="39">
        <v>45343</v>
      </c>
      <c r="E39" s="107" t="s">
        <v>669</v>
      </c>
      <c r="F39" s="2" t="s">
        <v>670</v>
      </c>
      <c r="G39" s="74" t="s">
        <v>671</v>
      </c>
      <c r="H39" s="2"/>
      <c r="I39" s="2"/>
      <c r="J39" s="108">
        <f t="shared" si="2"/>
        <v>865.8</v>
      </c>
      <c r="K39" s="30">
        <f t="shared" si="3"/>
        <v>1082.25</v>
      </c>
      <c r="L39" s="34"/>
      <c r="M39" s="114">
        <f t="shared" si="0"/>
        <v>216.45</v>
      </c>
      <c r="N39" s="2"/>
      <c r="O39" s="2"/>
      <c r="P39" s="2"/>
      <c r="Q39" s="2"/>
      <c r="R39" s="30">
        <f t="shared" si="1"/>
        <v>216.45</v>
      </c>
      <c r="S39" s="2"/>
      <c r="T39" t="s">
        <v>602</v>
      </c>
      <c r="U39" s="109">
        <v>1</v>
      </c>
      <c r="V39">
        <v>865.8</v>
      </c>
    </row>
    <row r="40" spans="1:22" ht="13.5" thickBot="1" x14ac:dyDescent="0.25">
      <c r="A40" s="190">
        <v>22</v>
      </c>
      <c r="B40" s="133">
        <v>7</v>
      </c>
      <c r="C40" s="171" t="s">
        <v>672</v>
      </c>
      <c r="D40" s="149">
        <v>45348</v>
      </c>
      <c r="E40" s="148" t="s">
        <v>673</v>
      </c>
      <c r="F40" s="145" t="s">
        <v>674</v>
      </c>
      <c r="G40" s="126" t="s">
        <v>675</v>
      </c>
      <c r="H40" s="2"/>
      <c r="I40" s="2"/>
      <c r="J40" s="108">
        <f t="shared" si="2"/>
        <v>420</v>
      </c>
      <c r="K40" s="30">
        <f t="shared" si="3"/>
        <v>525</v>
      </c>
      <c r="L40" s="34"/>
      <c r="M40" s="114">
        <f t="shared" si="0"/>
        <v>105</v>
      </c>
      <c r="N40" s="2"/>
      <c r="O40" s="2"/>
      <c r="P40" s="2"/>
      <c r="Q40" s="2"/>
      <c r="R40" s="30">
        <f t="shared" si="1"/>
        <v>105</v>
      </c>
      <c r="S40" s="2"/>
      <c r="T40" t="s">
        <v>602</v>
      </c>
      <c r="U40" s="109">
        <v>1</v>
      </c>
      <c r="V40">
        <v>420</v>
      </c>
    </row>
    <row r="41" spans="1:22" x14ac:dyDescent="0.2">
      <c r="A41" s="193">
        <v>28</v>
      </c>
      <c r="B41" s="18">
        <v>8</v>
      </c>
      <c r="C41" s="172" t="s">
        <v>680</v>
      </c>
      <c r="D41" s="150">
        <v>45352</v>
      </c>
      <c r="E41" s="143" t="s">
        <v>655</v>
      </c>
      <c r="F41" s="151" t="s">
        <v>656</v>
      </c>
      <c r="G41" s="121" t="s">
        <v>657</v>
      </c>
      <c r="H41" s="2"/>
      <c r="I41" s="2"/>
      <c r="J41" s="108">
        <f t="shared" si="2"/>
        <v>6.33</v>
      </c>
      <c r="K41" s="30">
        <f t="shared" si="3"/>
        <v>7.9124999999999996</v>
      </c>
      <c r="L41" s="34"/>
      <c r="M41" s="114">
        <f t="shared" si="0"/>
        <v>1.5825</v>
      </c>
      <c r="N41" s="2"/>
      <c r="O41" s="2"/>
      <c r="P41" s="2"/>
      <c r="Q41" s="2"/>
      <c r="R41" s="30">
        <f t="shared" si="1"/>
        <v>1.5825</v>
      </c>
      <c r="S41" s="2"/>
      <c r="T41" t="s">
        <v>602</v>
      </c>
      <c r="U41" s="109">
        <v>1</v>
      </c>
      <c r="V41">
        <v>6.33</v>
      </c>
    </row>
    <row r="42" spans="1:22" x14ac:dyDescent="0.2">
      <c r="A42" s="190">
        <v>29</v>
      </c>
      <c r="B42" s="5">
        <v>9</v>
      </c>
      <c r="C42" s="78" t="s">
        <v>681</v>
      </c>
      <c r="D42" s="39">
        <v>45356</v>
      </c>
      <c r="E42" s="107" t="s">
        <v>659</v>
      </c>
      <c r="F42" s="2" t="s">
        <v>660</v>
      </c>
      <c r="G42" s="74" t="s">
        <v>661</v>
      </c>
      <c r="H42" s="2"/>
      <c r="I42" s="2"/>
      <c r="J42" s="108">
        <f t="shared" si="2"/>
        <v>144.38</v>
      </c>
      <c r="K42" s="30">
        <f t="shared" si="3"/>
        <v>180.47499999999999</v>
      </c>
      <c r="L42" s="34"/>
      <c r="M42" s="114">
        <f t="shared" si="0"/>
        <v>36.094999999999999</v>
      </c>
      <c r="N42" s="2"/>
      <c r="O42" s="2"/>
      <c r="P42" s="2"/>
      <c r="Q42" s="2"/>
      <c r="R42" s="30">
        <f t="shared" si="1"/>
        <v>36.094999999999999</v>
      </c>
      <c r="S42" s="2"/>
      <c r="T42" t="s">
        <v>602</v>
      </c>
      <c r="U42" s="109">
        <v>1</v>
      </c>
      <c r="V42">
        <v>144.38</v>
      </c>
    </row>
    <row r="43" spans="1:22" x14ac:dyDescent="0.2">
      <c r="A43" s="190">
        <v>34</v>
      </c>
      <c r="B43" s="5">
        <v>10</v>
      </c>
      <c r="C43" s="78">
        <v>92024</v>
      </c>
      <c r="D43" s="39">
        <v>45358</v>
      </c>
      <c r="E43" s="107" t="s">
        <v>688</v>
      </c>
      <c r="F43" s="2" t="s">
        <v>689</v>
      </c>
      <c r="G43" s="74" t="s">
        <v>690</v>
      </c>
      <c r="H43" s="2"/>
      <c r="I43" s="2"/>
      <c r="J43" s="108">
        <f t="shared" ref="J43:J49" si="4">+V43*U43</f>
        <v>396</v>
      </c>
      <c r="K43" s="30">
        <f t="shared" ref="K43:K49" si="5">J43+M43</f>
        <v>495</v>
      </c>
      <c r="L43" s="34"/>
      <c r="M43" s="114">
        <f t="shared" ref="M43:M49" si="6">SUM(N43:S43)</f>
        <v>99</v>
      </c>
      <c r="N43" s="2"/>
      <c r="O43" s="2"/>
      <c r="P43" s="2"/>
      <c r="Q43" s="2"/>
      <c r="R43" s="30">
        <f t="shared" ref="R43:R49" si="7">J43*0.25</f>
        <v>99</v>
      </c>
      <c r="S43" s="2"/>
      <c r="T43" t="s">
        <v>602</v>
      </c>
      <c r="U43" s="109">
        <v>1</v>
      </c>
      <c r="V43">
        <v>396</v>
      </c>
    </row>
    <row r="44" spans="1:22" ht="13.5" thickBot="1" x14ac:dyDescent="0.25">
      <c r="A44" s="190">
        <v>35</v>
      </c>
      <c r="B44" s="133">
        <v>11</v>
      </c>
      <c r="C44" s="171" t="s">
        <v>682</v>
      </c>
      <c r="D44" s="149">
        <v>45375</v>
      </c>
      <c r="E44" s="148" t="s">
        <v>683</v>
      </c>
      <c r="F44" s="145" t="s">
        <v>684</v>
      </c>
      <c r="G44" s="126" t="s">
        <v>685</v>
      </c>
      <c r="H44" s="2"/>
      <c r="I44" s="2"/>
      <c r="J44" s="108">
        <f t="shared" si="4"/>
        <v>235</v>
      </c>
      <c r="K44" s="30">
        <f t="shared" si="5"/>
        <v>293.75</v>
      </c>
      <c r="L44" s="34"/>
      <c r="M44" s="114">
        <f t="shared" si="6"/>
        <v>58.75</v>
      </c>
      <c r="N44" s="2"/>
      <c r="O44" s="2"/>
      <c r="P44" s="2"/>
      <c r="Q44" s="2"/>
      <c r="R44" s="30">
        <f t="shared" si="7"/>
        <v>58.75</v>
      </c>
      <c r="S44" s="2"/>
      <c r="T44" t="s">
        <v>602</v>
      </c>
      <c r="U44" s="109">
        <v>1</v>
      </c>
      <c r="V44">
        <v>235</v>
      </c>
    </row>
    <row r="45" spans="1:22" x14ac:dyDescent="0.2">
      <c r="A45" s="193">
        <v>41</v>
      </c>
      <c r="B45" s="18">
        <v>12</v>
      </c>
      <c r="C45" s="172" t="s">
        <v>686</v>
      </c>
      <c r="D45" s="150">
        <v>45383</v>
      </c>
      <c r="E45" s="143" t="s">
        <v>655</v>
      </c>
      <c r="F45" s="151" t="s">
        <v>656</v>
      </c>
      <c r="G45" s="121" t="s">
        <v>657</v>
      </c>
      <c r="H45" s="2"/>
      <c r="I45" s="2"/>
      <c r="J45" s="108">
        <f t="shared" si="4"/>
        <v>4.45</v>
      </c>
      <c r="K45" s="30">
        <f t="shared" si="5"/>
        <v>5.5625</v>
      </c>
      <c r="L45" s="34"/>
      <c r="M45" s="114">
        <f t="shared" si="6"/>
        <v>1.1125</v>
      </c>
      <c r="N45" s="2"/>
      <c r="O45" s="2"/>
      <c r="P45" s="2"/>
      <c r="Q45" s="2"/>
      <c r="R45" s="30">
        <f t="shared" si="7"/>
        <v>1.1125</v>
      </c>
      <c r="S45" s="2"/>
      <c r="T45" t="s">
        <v>602</v>
      </c>
      <c r="U45" s="109">
        <v>1</v>
      </c>
      <c r="V45">
        <v>4.45</v>
      </c>
    </row>
    <row r="46" spans="1:22" x14ac:dyDescent="0.2">
      <c r="A46" s="190">
        <v>42</v>
      </c>
      <c r="B46" s="5">
        <v>13</v>
      </c>
      <c r="C46" s="78" t="s">
        <v>687</v>
      </c>
      <c r="D46" s="39">
        <v>45385</v>
      </c>
      <c r="E46" s="107" t="s">
        <v>659</v>
      </c>
      <c r="F46" s="2" t="s">
        <v>660</v>
      </c>
      <c r="G46" s="74" t="s">
        <v>661</v>
      </c>
      <c r="H46" s="2"/>
      <c r="I46" s="2"/>
      <c r="J46" s="108">
        <f t="shared" si="4"/>
        <v>288.76</v>
      </c>
      <c r="K46" s="30">
        <f t="shared" si="5"/>
        <v>360.95</v>
      </c>
      <c r="L46" s="34"/>
      <c r="M46" s="114">
        <f t="shared" si="6"/>
        <v>72.19</v>
      </c>
      <c r="N46" s="2"/>
      <c r="O46" s="2"/>
      <c r="P46" s="2"/>
      <c r="Q46" s="2"/>
      <c r="R46" s="30">
        <f t="shared" si="7"/>
        <v>72.19</v>
      </c>
      <c r="S46" s="2"/>
      <c r="T46" t="s">
        <v>602</v>
      </c>
      <c r="U46" s="109">
        <v>1</v>
      </c>
      <c r="V46">
        <v>288.76</v>
      </c>
    </row>
    <row r="47" spans="1:22" x14ac:dyDescent="0.2">
      <c r="A47" s="190">
        <v>47</v>
      </c>
      <c r="B47" s="5">
        <v>14</v>
      </c>
      <c r="C47" s="78">
        <v>109400731648</v>
      </c>
      <c r="D47" s="39">
        <v>45397</v>
      </c>
      <c r="E47" s="107" t="s">
        <v>662</v>
      </c>
      <c r="F47" s="2" t="s">
        <v>663</v>
      </c>
      <c r="G47" s="74" t="s">
        <v>664</v>
      </c>
      <c r="H47" s="2"/>
      <c r="I47" s="2"/>
      <c r="J47" s="108">
        <f t="shared" si="4"/>
        <v>323.66000000000003</v>
      </c>
      <c r="K47" s="30">
        <f t="shared" si="5"/>
        <v>404.57500000000005</v>
      </c>
      <c r="L47" s="34"/>
      <c r="M47" s="114">
        <f t="shared" si="6"/>
        <v>80.915000000000006</v>
      </c>
      <c r="N47" s="2"/>
      <c r="O47" s="2"/>
      <c r="P47" s="2"/>
      <c r="Q47" s="2"/>
      <c r="R47" s="30">
        <f t="shared" si="7"/>
        <v>80.915000000000006</v>
      </c>
      <c r="S47" s="2"/>
      <c r="T47" t="s">
        <v>602</v>
      </c>
      <c r="U47" s="109">
        <v>1</v>
      </c>
      <c r="V47">
        <v>323.66000000000003</v>
      </c>
    </row>
    <row r="48" spans="1:22" x14ac:dyDescent="0.2">
      <c r="A48" s="190">
        <v>48</v>
      </c>
      <c r="B48" s="5">
        <v>15</v>
      </c>
      <c r="C48" s="78">
        <v>42001650</v>
      </c>
      <c r="D48" s="39">
        <v>45405</v>
      </c>
      <c r="E48" s="107" t="s">
        <v>692</v>
      </c>
      <c r="F48" s="2" t="s">
        <v>693</v>
      </c>
      <c r="G48" s="74" t="s">
        <v>694</v>
      </c>
      <c r="H48" s="2"/>
      <c r="I48" s="2"/>
      <c r="J48" s="108">
        <f t="shared" si="4"/>
        <v>23.06</v>
      </c>
      <c r="K48" s="30">
        <f t="shared" si="5"/>
        <v>28.824999999999999</v>
      </c>
      <c r="L48" s="34"/>
      <c r="M48" s="114">
        <f t="shared" si="6"/>
        <v>5.7649999999999997</v>
      </c>
      <c r="N48" s="2"/>
      <c r="O48" s="2"/>
      <c r="P48" s="2"/>
      <c r="Q48" s="2"/>
      <c r="R48" s="30">
        <f t="shared" si="7"/>
        <v>5.7649999999999997</v>
      </c>
      <c r="S48" s="2"/>
      <c r="T48" t="s">
        <v>602</v>
      </c>
      <c r="U48" s="109">
        <v>1</v>
      </c>
      <c r="V48">
        <v>23.06</v>
      </c>
    </row>
    <row r="49" spans="1:22" x14ac:dyDescent="0.2">
      <c r="A49" s="190">
        <v>49</v>
      </c>
      <c r="B49" s="5">
        <v>16</v>
      </c>
      <c r="C49" s="78">
        <v>2919</v>
      </c>
      <c r="D49" s="39">
        <v>45407</v>
      </c>
      <c r="E49" s="107" t="s">
        <v>695</v>
      </c>
      <c r="F49" s="2" t="s">
        <v>696</v>
      </c>
      <c r="G49" s="74" t="s">
        <v>697</v>
      </c>
      <c r="H49" s="2"/>
      <c r="I49" s="2"/>
      <c r="J49" s="108">
        <f t="shared" si="4"/>
        <v>475</v>
      </c>
      <c r="K49" s="30">
        <f t="shared" si="5"/>
        <v>593.75</v>
      </c>
      <c r="L49" s="34"/>
      <c r="M49" s="114">
        <f t="shared" si="6"/>
        <v>118.75</v>
      </c>
      <c r="N49" s="2"/>
      <c r="O49" s="2"/>
      <c r="P49" s="2"/>
      <c r="Q49" s="2"/>
      <c r="R49" s="30">
        <f t="shared" si="7"/>
        <v>118.75</v>
      </c>
      <c r="S49" s="2"/>
      <c r="T49" t="s">
        <v>602</v>
      </c>
      <c r="U49" s="109">
        <v>1</v>
      </c>
      <c r="V49">
        <v>475</v>
      </c>
    </row>
    <row r="50" spans="1:22" x14ac:dyDescent="0.2">
      <c r="A50" s="190">
        <v>60</v>
      </c>
      <c r="B50" s="5">
        <v>17</v>
      </c>
      <c r="C50" s="78">
        <v>16722</v>
      </c>
      <c r="D50" s="39">
        <v>45418</v>
      </c>
      <c r="E50" s="107" t="s">
        <v>692</v>
      </c>
      <c r="F50" s="2" t="s">
        <v>693</v>
      </c>
      <c r="G50" s="74" t="s">
        <v>694</v>
      </c>
      <c r="H50" s="2"/>
      <c r="I50" s="2"/>
      <c r="J50" s="108">
        <f t="shared" ref="J50:J55" si="8">+V50*U50</f>
        <v>354.9</v>
      </c>
      <c r="K50" s="30">
        <f t="shared" ref="K50:K55" si="9">J50+M50</f>
        <v>443.625</v>
      </c>
      <c r="L50" s="34"/>
      <c r="M50" s="114">
        <f t="shared" ref="M50:M55" si="10">SUM(N50:S50)</f>
        <v>88.724999999999994</v>
      </c>
      <c r="N50" s="2"/>
      <c r="O50" s="2"/>
      <c r="P50" s="2"/>
      <c r="Q50" s="2"/>
      <c r="R50" s="30">
        <f t="shared" ref="R50:R55" si="11">J50*0.25</f>
        <v>88.724999999999994</v>
      </c>
      <c r="S50" s="2"/>
      <c r="T50" t="s">
        <v>602</v>
      </c>
      <c r="U50" s="109">
        <v>1</v>
      </c>
      <c r="V50">
        <v>354.9</v>
      </c>
    </row>
    <row r="51" spans="1:22" x14ac:dyDescent="0.2">
      <c r="A51" s="190">
        <v>61</v>
      </c>
      <c r="B51" s="5">
        <v>18</v>
      </c>
      <c r="C51" s="78">
        <v>16724</v>
      </c>
      <c r="D51" s="39">
        <v>45418</v>
      </c>
      <c r="E51" s="107" t="s">
        <v>692</v>
      </c>
      <c r="F51" s="2" t="s">
        <v>693</v>
      </c>
      <c r="G51" s="74" t="s">
        <v>694</v>
      </c>
      <c r="H51" s="2"/>
      <c r="I51" s="2"/>
      <c r="J51" s="108">
        <f t="shared" si="8"/>
        <v>503.66</v>
      </c>
      <c r="K51" s="30">
        <f t="shared" si="9"/>
        <v>629.57500000000005</v>
      </c>
      <c r="L51" s="34"/>
      <c r="M51" s="114">
        <f t="shared" si="10"/>
        <v>125.91500000000001</v>
      </c>
      <c r="N51" s="2"/>
      <c r="O51" s="2"/>
      <c r="P51" s="2"/>
      <c r="Q51" s="2"/>
      <c r="R51" s="30">
        <f t="shared" si="11"/>
        <v>125.91500000000001</v>
      </c>
      <c r="S51" s="2"/>
      <c r="T51" t="s">
        <v>602</v>
      </c>
      <c r="U51" s="109">
        <v>1</v>
      </c>
      <c r="V51">
        <v>503.66</v>
      </c>
    </row>
    <row r="52" spans="1:22" x14ac:dyDescent="0.2">
      <c r="A52" s="190">
        <v>62</v>
      </c>
      <c r="B52" s="5">
        <v>19</v>
      </c>
      <c r="C52" s="78">
        <v>17002</v>
      </c>
      <c r="D52" s="39">
        <v>45425</v>
      </c>
      <c r="E52" s="107" t="s">
        <v>692</v>
      </c>
      <c r="F52" s="2" t="s">
        <v>693</v>
      </c>
      <c r="G52" s="74" t="s">
        <v>694</v>
      </c>
      <c r="H52" s="2"/>
      <c r="I52" s="2"/>
      <c r="J52" s="108">
        <f t="shared" si="8"/>
        <v>208.65</v>
      </c>
      <c r="K52" s="30">
        <f t="shared" si="9"/>
        <v>260.8125</v>
      </c>
      <c r="L52" s="34"/>
      <c r="M52" s="114">
        <f t="shared" si="10"/>
        <v>52.162500000000001</v>
      </c>
      <c r="N52" s="2"/>
      <c r="O52" s="2"/>
      <c r="P52" s="2"/>
      <c r="Q52" s="2"/>
      <c r="R52" s="30">
        <f t="shared" si="11"/>
        <v>52.162500000000001</v>
      </c>
      <c r="S52" s="2"/>
      <c r="T52" t="s">
        <v>602</v>
      </c>
      <c r="U52" s="109">
        <v>1</v>
      </c>
      <c r="V52">
        <v>208.65</v>
      </c>
    </row>
    <row r="53" spans="1:22" x14ac:dyDescent="0.2">
      <c r="A53" s="190">
        <v>63</v>
      </c>
      <c r="B53" s="5">
        <v>20</v>
      </c>
      <c r="C53" s="78" t="s">
        <v>706</v>
      </c>
      <c r="D53" s="39">
        <v>45439</v>
      </c>
      <c r="E53" s="107" t="s">
        <v>707</v>
      </c>
      <c r="F53" s="2" t="s">
        <v>708</v>
      </c>
      <c r="G53" s="74" t="s">
        <v>709</v>
      </c>
      <c r="H53" s="2"/>
      <c r="I53" s="2"/>
      <c r="J53" s="108">
        <f t="shared" si="8"/>
        <v>60</v>
      </c>
      <c r="K53" s="30">
        <f t="shared" si="9"/>
        <v>75</v>
      </c>
      <c r="L53" s="34"/>
      <c r="M53" s="114">
        <f t="shared" si="10"/>
        <v>15</v>
      </c>
      <c r="N53" s="2"/>
      <c r="O53" s="2"/>
      <c r="P53" s="2"/>
      <c r="Q53" s="2"/>
      <c r="R53" s="30">
        <f t="shared" si="11"/>
        <v>15</v>
      </c>
      <c r="S53" s="2"/>
      <c r="T53" t="s">
        <v>602</v>
      </c>
      <c r="U53" s="109">
        <v>1</v>
      </c>
      <c r="V53">
        <v>60</v>
      </c>
    </row>
    <row r="54" spans="1:22" ht="13.5" thickBot="1" x14ac:dyDescent="0.25">
      <c r="A54" s="192">
        <v>64</v>
      </c>
      <c r="B54" s="165">
        <v>21</v>
      </c>
      <c r="C54" s="186">
        <v>1052648</v>
      </c>
      <c r="D54" s="159">
        <v>45440</v>
      </c>
      <c r="E54" s="158" t="s">
        <v>710</v>
      </c>
      <c r="F54" s="160" t="s">
        <v>711</v>
      </c>
      <c r="G54" s="167" t="s">
        <v>712</v>
      </c>
      <c r="H54" s="2"/>
      <c r="I54" s="2"/>
      <c r="J54" s="108">
        <f t="shared" si="8"/>
        <v>129.83000000000001</v>
      </c>
      <c r="K54" s="30">
        <f t="shared" si="9"/>
        <v>162.28750000000002</v>
      </c>
      <c r="L54" s="34"/>
      <c r="M54" s="114">
        <f t="shared" si="10"/>
        <v>32.457500000000003</v>
      </c>
      <c r="N54" s="2"/>
      <c r="O54" s="2"/>
      <c r="P54" s="2"/>
      <c r="Q54" s="2"/>
      <c r="R54" s="30">
        <f t="shared" si="11"/>
        <v>32.457500000000003</v>
      </c>
      <c r="S54" s="2"/>
      <c r="T54" t="s">
        <v>602</v>
      </c>
      <c r="U54" s="109">
        <v>1</v>
      </c>
      <c r="V54">
        <v>129.83000000000001</v>
      </c>
    </row>
    <row r="55" spans="1:22" ht="13.5" thickBot="1" x14ac:dyDescent="0.25">
      <c r="A55" s="190">
        <v>73</v>
      </c>
      <c r="B55" s="187">
        <v>22</v>
      </c>
      <c r="C55" s="202" t="s">
        <v>730</v>
      </c>
      <c r="D55" s="175">
        <v>45444</v>
      </c>
      <c r="E55" s="206" t="s">
        <v>655</v>
      </c>
      <c r="F55" s="130" t="s">
        <v>656</v>
      </c>
      <c r="G55" s="207" t="s">
        <v>657</v>
      </c>
      <c r="H55" s="2"/>
      <c r="I55" s="2"/>
      <c r="J55" s="108">
        <f t="shared" si="8"/>
        <v>10.15</v>
      </c>
      <c r="K55" s="30">
        <f t="shared" si="9"/>
        <v>12.6875</v>
      </c>
      <c r="L55" s="34"/>
      <c r="M55" s="114">
        <f t="shared" si="10"/>
        <v>2.5375000000000001</v>
      </c>
      <c r="N55" s="2"/>
      <c r="O55" s="2"/>
      <c r="P55" s="2"/>
      <c r="Q55" s="2"/>
      <c r="R55" s="30">
        <f t="shared" si="11"/>
        <v>2.5375000000000001</v>
      </c>
      <c r="S55" s="2"/>
      <c r="T55" t="s">
        <v>602</v>
      </c>
      <c r="U55" s="109">
        <v>1</v>
      </c>
      <c r="V55">
        <v>10.15</v>
      </c>
    </row>
    <row r="56" spans="1:22" x14ac:dyDescent="0.2">
      <c r="A56" s="120"/>
      <c r="B56" s="18"/>
      <c r="C56" s="172"/>
      <c r="D56" s="150"/>
      <c r="E56" s="143"/>
      <c r="F56" s="151"/>
      <c r="G56" s="121"/>
      <c r="H56" s="2"/>
      <c r="I56" s="2"/>
      <c r="J56" s="108">
        <f t="shared" ref="J56:J69" si="12">+V56*U56</f>
        <v>0</v>
      </c>
      <c r="K56" s="30">
        <f t="shared" ref="K56:K69" si="13">J56+M56</f>
        <v>0</v>
      </c>
      <c r="L56" s="34"/>
      <c r="M56" s="114">
        <f t="shared" ref="M56:M69" si="14">SUM(N56:S56)</f>
        <v>0</v>
      </c>
      <c r="N56" s="2"/>
      <c r="O56" s="2"/>
      <c r="P56" s="2"/>
      <c r="Q56" s="2"/>
      <c r="R56" s="30">
        <f t="shared" ref="R56:R69" si="15">J56*0.25</f>
        <v>0</v>
      </c>
      <c r="S56" s="2"/>
      <c r="T56" t="s">
        <v>602</v>
      </c>
      <c r="U56" s="109">
        <v>1</v>
      </c>
    </row>
    <row r="57" spans="1:22" x14ac:dyDescent="0.2">
      <c r="A57" s="1"/>
      <c r="B57" s="319" t="s">
        <v>737</v>
      </c>
      <c r="C57" s="320"/>
      <c r="D57" s="320"/>
      <c r="E57" s="320"/>
      <c r="F57" s="320"/>
      <c r="G57" s="321"/>
      <c r="H57" s="2"/>
      <c r="I57" s="2"/>
      <c r="J57" s="108">
        <f t="shared" si="12"/>
        <v>0</v>
      </c>
      <c r="K57" s="30">
        <f t="shared" si="13"/>
        <v>0</v>
      </c>
      <c r="L57" s="34"/>
      <c r="M57" s="114">
        <f t="shared" si="14"/>
        <v>0</v>
      </c>
      <c r="N57" s="2"/>
      <c r="O57" s="2"/>
      <c r="P57" s="2"/>
      <c r="Q57" s="2"/>
      <c r="R57" s="30">
        <f t="shared" si="15"/>
        <v>0</v>
      </c>
      <c r="S57" s="2"/>
      <c r="T57" t="s">
        <v>602</v>
      </c>
      <c r="U57" s="109">
        <v>1</v>
      </c>
    </row>
    <row r="58" spans="1:22" ht="13.5" thickBot="1" x14ac:dyDescent="0.25">
      <c r="A58" s="164"/>
      <c r="B58" s="198"/>
      <c r="C58" s="199"/>
      <c r="D58" s="170"/>
      <c r="E58" s="169"/>
      <c r="F58" s="13"/>
      <c r="G58" s="200"/>
      <c r="H58" s="2"/>
      <c r="I58" s="2"/>
      <c r="J58" s="108">
        <f t="shared" si="12"/>
        <v>0</v>
      </c>
      <c r="K58" s="30">
        <f t="shared" si="13"/>
        <v>0</v>
      </c>
      <c r="L58" s="34"/>
      <c r="M58" s="114">
        <f t="shared" si="14"/>
        <v>0</v>
      </c>
      <c r="N58" s="2"/>
      <c r="O58" s="2"/>
      <c r="P58" s="2"/>
      <c r="Q58" s="2"/>
      <c r="R58" s="30">
        <f t="shared" si="15"/>
        <v>0</v>
      </c>
      <c r="S58" s="2"/>
      <c r="T58" t="s">
        <v>602</v>
      </c>
      <c r="U58" s="109">
        <v>1</v>
      </c>
    </row>
    <row r="59" spans="1:22" x14ac:dyDescent="0.2">
      <c r="A59" s="190">
        <v>81</v>
      </c>
      <c r="B59" s="134">
        <v>23</v>
      </c>
      <c r="C59" s="162">
        <v>9760008996</v>
      </c>
      <c r="D59" s="141">
        <v>45473</v>
      </c>
      <c r="E59" s="107" t="s">
        <v>692</v>
      </c>
      <c r="F59" s="2" t="s">
        <v>693</v>
      </c>
      <c r="G59" s="74" t="s">
        <v>694</v>
      </c>
      <c r="H59" s="2"/>
      <c r="I59" s="2"/>
      <c r="J59" s="108">
        <f t="shared" si="12"/>
        <v>3.32</v>
      </c>
      <c r="K59" s="30">
        <f t="shared" si="13"/>
        <v>4.1499999999999995</v>
      </c>
      <c r="L59" s="34"/>
      <c r="M59" s="114">
        <f t="shared" si="14"/>
        <v>0.83</v>
      </c>
      <c r="N59" s="2"/>
      <c r="O59" s="2"/>
      <c r="P59" s="2"/>
      <c r="Q59" s="2"/>
      <c r="R59" s="30">
        <f t="shared" si="15"/>
        <v>0.83</v>
      </c>
      <c r="S59" s="2"/>
      <c r="T59" t="s">
        <v>602</v>
      </c>
      <c r="U59" s="109">
        <v>1</v>
      </c>
      <c r="V59">
        <v>3.32</v>
      </c>
    </row>
    <row r="60" spans="1:22" ht="13.5" thickBot="1" x14ac:dyDescent="0.25">
      <c r="A60" s="190">
        <v>82</v>
      </c>
      <c r="B60" s="187">
        <v>24</v>
      </c>
      <c r="C60" s="201">
        <v>9760008995</v>
      </c>
      <c r="D60" s="175">
        <v>45473</v>
      </c>
      <c r="E60" s="107" t="s">
        <v>692</v>
      </c>
      <c r="F60" s="2" t="s">
        <v>693</v>
      </c>
      <c r="G60" s="74" t="s">
        <v>694</v>
      </c>
      <c r="H60" s="2"/>
      <c r="I60" s="2"/>
      <c r="J60" s="108">
        <f t="shared" si="12"/>
        <v>252.9</v>
      </c>
      <c r="K60" s="30">
        <f t="shared" si="13"/>
        <v>316.125</v>
      </c>
      <c r="L60" s="34"/>
      <c r="M60" s="114">
        <f t="shared" si="14"/>
        <v>63.225000000000001</v>
      </c>
      <c r="N60" s="2"/>
      <c r="O60" s="2"/>
      <c r="P60" s="2"/>
      <c r="Q60" s="2"/>
      <c r="R60" s="30">
        <f t="shared" si="15"/>
        <v>63.225000000000001</v>
      </c>
      <c r="S60" s="2"/>
      <c r="T60" t="s">
        <v>602</v>
      </c>
      <c r="U60" s="109">
        <v>1</v>
      </c>
      <c r="V60">
        <v>252.9</v>
      </c>
    </row>
    <row r="61" spans="1:22" ht="13.5" thickBot="1" x14ac:dyDescent="0.25">
      <c r="A61" s="193">
        <v>92</v>
      </c>
      <c r="B61" s="18">
        <v>25</v>
      </c>
      <c r="C61" s="172" t="s">
        <v>745</v>
      </c>
      <c r="D61" s="150">
        <v>45474</v>
      </c>
      <c r="E61" s="143" t="s">
        <v>655</v>
      </c>
      <c r="F61" s="151" t="s">
        <v>656</v>
      </c>
      <c r="G61" s="121" t="s">
        <v>657</v>
      </c>
      <c r="H61" s="2"/>
      <c r="I61" s="2"/>
      <c r="J61" s="108">
        <f t="shared" si="12"/>
        <v>12.25</v>
      </c>
      <c r="K61" s="30">
        <f t="shared" si="13"/>
        <v>15.3125</v>
      </c>
      <c r="L61" s="34"/>
      <c r="M61" s="114">
        <f t="shared" si="14"/>
        <v>3.0625</v>
      </c>
      <c r="N61" s="2"/>
      <c r="O61" s="2"/>
      <c r="P61" s="2"/>
      <c r="Q61" s="2"/>
      <c r="R61" s="30">
        <f t="shared" si="15"/>
        <v>3.0625</v>
      </c>
      <c r="S61" s="2"/>
      <c r="T61" t="s">
        <v>602</v>
      </c>
      <c r="U61" s="109">
        <v>1</v>
      </c>
      <c r="V61">
        <v>12.25</v>
      </c>
    </row>
    <row r="62" spans="1:22" x14ac:dyDescent="0.2">
      <c r="A62" s="120"/>
      <c r="B62" s="18"/>
      <c r="C62" s="172"/>
      <c r="D62" s="150"/>
      <c r="E62" s="143"/>
      <c r="F62" s="151"/>
      <c r="G62" s="121"/>
      <c r="H62" s="2"/>
      <c r="I62" s="2"/>
      <c r="J62" s="108">
        <f t="shared" si="12"/>
        <v>0</v>
      </c>
      <c r="K62" s="30">
        <f t="shared" si="13"/>
        <v>0</v>
      </c>
      <c r="L62" s="34"/>
      <c r="M62" s="114">
        <f t="shared" si="14"/>
        <v>0</v>
      </c>
      <c r="N62" s="2"/>
      <c r="O62" s="2"/>
      <c r="P62" s="2"/>
      <c r="Q62" s="2"/>
      <c r="R62" s="30">
        <f t="shared" si="15"/>
        <v>0</v>
      </c>
      <c r="S62" s="2"/>
      <c r="T62" t="s">
        <v>602</v>
      </c>
      <c r="U62" s="109">
        <v>1</v>
      </c>
    </row>
    <row r="63" spans="1:22" x14ac:dyDescent="0.2">
      <c r="A63" s="1"/>
      <c r="B63" s="319" t="s">
        <v>749</v>
      </c>
      <c r="C63" s="320"/>
      <c r="D63" s="320"/>
      <c r="E63" s="320"/>
      <c r="F63" s="320"/>
      <c r="G63" s="321"/>
      <c r="H63" s="2"/>
      <c r="I63" s="2"/>
      <c r="J63" s="108">
        <f t="shared" si="12"/>
        <v>0</v>
      </c>
      <c r="K63" s="30">
        <f t="shared" si="13"/>
        <v>0</v>
      </c>
      <c r="L63" s="34"/>
      <c r="M63" s="114">
        <f t="shared" si="14"/>
        <v>0</v>
      </c>
      <c r="N63" s="2"/>
      <c r="O63" s="2"/>
      <c r="P63" s="2"/>
      <c r="Q63" s="2"/>
      <c r="R63" s="30">
        <f t="shared" si="15"/>
        <v>0</v>
      </c>
      <c r="S63" s="2"/>
      <c r="T63" t="s">
        <v>602</v>
      </c>
      <c r="U63" s="109">
        <v>1</v>
      </c>
    </row>
    <row r="64" spans="1:22" ht="13.5" thickBot="1" x14ac:dyDescent="0.25">
      <c r="A64" s="164"/>
      <c r="B64" s="198"/>
      <c r="C64" s="199"/>
      <c r="D64" s="170"/>
      <c r="E64" s="169"/>
      <c r="F64" s="13"/>
      <c r="G64" s="200"/>
      <c r="H64" s="2"/>
      <c r="I64" s="2"/>
      <c r="J64" s="108">
        <f t="shared" si="12"/>
        <v>0</v>
      </c>
      <c r="K64" s="30">
        <f t="shared" si="13"/>
        <v>0</v>
      </c>
      <c r="L64" s="34"/>
      <c r="M64" s="114">
        <f t="shared" si="14"/>
        <v>0</v>
      </c>
      <c r="N64" s="2"/>
      <c r="O64" s="2"/>
      <c r="P64" s="2"/>
      <c r="Q64" s="2"/>
      <c r="R64" s="30">
        <f t="shared" si="15"/>
        <v>0</v>
      </c>
      <c r="S64" s="2"/>
      <c r="T64" t="s">
        <v>602</v>
      </c>
      <c r="U64" s="109">
        <v>1</v>
      </c>
    </row>
    <row r="65" spans="1:22" x14ac:dyDescent="0.2">
      <c r="A65" s="1"/>
      <c r="B65" s="134"/>
      <c r="C65" s="162"/>
      <c r="D65" s="141"/>
      <c r="E65" s="137"/>
      <c r="F65" s="154"/>
      <c r="G65" s="163"/>
      <c r="H65" s="2"/>
      <c r="I65" s="2"/>
      <c r="J65" s="108">
        <f t="shared" si="12"/>
        <v>0</v>
      </c>
      <c r="K65" s="30">
        <f t="shared" si="13"/>
        <v>0</v>
      </c>
      <c r="L65" s="34"/>
      <c r="M65" s="114">
        <f t="shared" si="14"/>
        <v>0</v>
      </c>
      <c r="N65" s="2"/>
      <c r="O65" s="2"/>
      <c r="P65" s="2"/>
      <c r="Q65" s="2"/>
      <c r="R65" s="30">
        <f t="shared" si="15"/>
        <v>0</v>
      </c>
      <c r="S65" s="2"/>
      <c r="T65" t="s">
        <v>602</v>
      </c>
      <c r="U65" s="109">
        <v>1</v>
      </c>
    </row>
    <row r="66" spans="1:22" x14ac:dyDescent="0.2">
      <c r="A66" s="190">
        <v>100</v>
      </c>
      <c r="B66" s="134">
        <v>26</v>
      </c>
      <c r="C66" s="78">
        <v>1611699641</v>
      </c>
      <c r="D66" s="39">
        <v>45476</v>
      </c>
      <c r="E66" s="107" t="s">
        <v>615</v>
      </c>
      <c r="F66" s="2" t="s">
        <v>616</v>
      </c>
      <c r="G66" s="74" t="s">
        <v>596</v>
      </c>
      <c r="H66" s="2"/>
      <c r="I66" s="2"/>
      <c r="J66" s="108">
        <f t="shared" si="12"/>
        <v>377.02</v>
      </c>
      <c r="K66" s="30">
        <f t="shared" si="13"/>
        <v>471.27499999999998</v>
      </c>
      <c r="L66" s="34"/>
      <c r="M66" s="114">
        <f t="shared" si="14"/>
        <v>94.254999999999995</v>
      </c>
      <c r="N66" s="2"/>
      <c r="O66" s="2"/>
      <c r="P66" s="2"/>
      <c r="Q66" s="2"/>
      <c r="R66" s="30">
        <f t="shared" si="15"/>
        <v>94.254999999999995</v>
      </c>
      <c r="S66" s="2"/>
      <c r="T66" t="s">
        <v>602</v>
      </c>
      <c r="U66" s="109">
        <v>1</v>
      </c>
      <c r="V66">
        <v>377.02</v>
      </c>
    </row>
    <row r="67" spans="1:22" x14ac:dyDescent="0.2">
      <c r="A67" s="190">
        <v>106</v>
      </c>
      <c r="B67" s="134">
        <v>27</v>
      </c>
      <c r="C67" s="162" t="s">
        <v>801</v>
      </c>
      <c r="D67" s="141">
        <v>45505</v>
      </c>
      <c r="E67" s="137" t="s">
        <v>655</v>
      </c>
      <c r="F67" s="154" t="s">
        <v>656</v>
      </c>
      <c r="G67" s="163" t="s">
        <v>657</v>
      </c>
      <c r="H67" s="2"/>
      <c r="I67" s="2"/>
      <c r="J67" s="108">
        <f t="shared" si="12"/>
        <v>63.57</v>
      </c>
      <c r="K67" s="30">
        <f t="shared" si="13"/>
        <v>79.462500000000006</v>
      </c>
      <c r="L67" s="34"/>
      <c r="M67" s="114">
        <f t="shared" si="14"/>
        <v>15.8925</v>
      </c>
      <c r="N67" s="2"/>
      <c r="O67" s="2"/>
      <c r="P67" s="2"/>
      <c r="Q67" s="2"/>
      <c r="R67" s="30">
        <f t="shared" si="15"/>
        <v>15.8925</v>
      </c>
      <c r="S67" s="2"/>
      <c r="T67" t="s">
        <v>602</v>
      </c>
      <c r="U67" s="109">
        <v>1</v>
      </c>
      <c r="V67">
        <v>63.57</v>
      </c>
    </row>
    <row r="68" spans="1:22" x14ac:dyDescent="0.2">
      <c r="A68" s="190">
        <v>108</v>
      </c>
      <c r="B68" s="134">
        <v>28</v>
      </c>
      <c r="C68" s="162">
        <v>1613414636</v>
      </c>
      <c r="D68" s="141">
        <v>45507</v>
      </c>
      <c r="E68" s="107" t="s">
        <v>615</v>
      </c>
      <c r="F68" s="2" t="s">
        <v>616</v>
      </c>
      <c r="G68" s="74" t="s">
        <v>596</v>
      </c>
      <c r="H68" s="2"/>
      <c r="I68" s="2"/>
      <c r="J68" s="108">
        <f t="shared" si="12"/>
        <v>622.63</v>
      </c>
      <c r="K68" s="30">
        <f t="shared" si="13"/>
        <v>778.28750000000002</v>
      </c>
      <c r="L68" s="34"/>
      <c r="M68" s="114">
        <f t="shared" si="14"/>
        <v>155.6575</v>
      </c>
      <c r="N68" s="2"/>
      <c r="O68" s="2"/>
      <c r="P68" s="2"/>
      <c r="Q68" s="2"/>
      <c r="R68" s="30">
        <f t="shared" si="15"/>
        <v>155.6575</v>
      </c>
      <c r="S68" s="2"/>
      <c r="T68" t="s">
        <v>602</v>
      </c>
      <c r="U68" s="109">
        <v>1</v>
      </c>
      <c r="V68">
        <v>622.63</v>
      </c>
    </row>
    <row r="69" spans="1:22" ht="13.5" thickBot="1" x14ac:dyDescent="0.25">
      <c r="A69" s="242"/>
      <c r="B69" s="228"/>
      <c r="C69" s="201"/>
      <c r="D69" s="175"/>
      <c r="E69" s="174"/>
      <c r="F69" s="194"/>
      <c r="G69" s="243"/>
      <c r="H69" s="2"/>
      <c r="I69" s="2"/>
      <c r="J69" s="108">
        <f t="shared" si="12"/>
        <v>0</v>
      </c>
      <c r="K69" s="30">
        <f t="shared" si="13"/>
        <v>0</v>
      </c>
      <c r="L69" s="34"/>
      <c r="M69" s="114">
        <f t="shared" si="14"/>
        <v>0</v>
      </c>
      <c r="N69" s="2"/>
      <c r="O69" s="2"/>
      <c r="P69" s="2"/>
      <c r="Q69" s="2"/>
      <c r="R69" s="30">
        <f t="shared" si="15"/>
        <v>0</v>
      </c>
      <c r="S69" s="2"/>
      <c r="T69" t="s">
        <v>602</v>
      </c>
      <c r="U69" s="109">
        <v>1</v>
      </c>
    </row>
    <row r="70" spans="1:22" x14ac:dyDescent="0.2">
      <c r="A70" s="244"/>
      <c r="B70" s="18"/>
      <c r="C70" s="172"/>
      <c r="D70" s="150"/>
      <c r="E70" s="143"/>
      <c r="F70" s="151"/>
      <c r="G70" s="121"/>
      <c r="H70" s="2"/>
      <c r="I70" s="2"/>
      <c r="J70" s="108">
        <f t="shared" ref="J70:J87" si="16">+V70*U70</f>
        <v>0</v>
      </c>
      <c r="K70" s="30">
        <f t="shared" ref="K70:K87" si="17">J70+M70</f>
        <v>0</v>
      </c>
      <c r="L70" s="34"/>
      <c r="M70" s="114">
        <f t="shared" ref="M70:M87" si="18">SUM(N70:S70)</f>
        <v>0</v>
      </c>
      <c r="N70" s="2"/>
      <c r="O70" s="2"/>
      <c r="P70" s="2"/>
      <c r="Q70" s="2"/>
      <c r="R70" s="30">
        <f t="shared" ref="R70:R87" si="19">J70*0.25</f>
        <v>0</v>
      </c>
      <c r="S70" s="2"/>
      <c r="T70" t="s">
        <v>602</v>
      </c>
      <c r="U70" s="109">
        <v>1</v>
      </c>
    </row>
    <row r="71" spans="1:22" x14ac:dyDescent="0.2">
      <c r="A71" s="241"/>
      <c r="B71" s="319" t="s">
        <v>812</v>
      </c>
      <c r="C71" s="320"/>
      <c r="D71" s="320"/>
      <c r="E71" s="320"/>
      <c r="F71" s="320"/>
      <c r="G71" s="321"/>
      <c r="H71" s="2"/>
      <c r="I71" s="2"/>
      <c r="J71" s="108">
        <f t="shared" si="16"/>
        <v>0</v>
      </c>
      <c r="K71" s="30">
        <f t="shared" si="17"/>
        <v>0</v>
      </c>
      <c r="L71" s="34"/>
      <c r="M71" s="114">
        <f t="shared" si="18"/>
        <v>0</v>
      </c>
      <c r="N71" s="2"/>
      <c r="O71" s="2"/>
      <c r="P71" s="2"/>
      <c r="Q71" s="2"/>
      <c r="R71" s="30">
        <f t="shared" si="19"/>
        <v>0</v>
      </c>
      <c r="S71" s="2"/>
      <c r="T71" t="s">
        <v>602</v>
      </c>
      <c r="U71" s="109">
        <v>1</v>
      </c>
    </row>
    <row r="72" spans="1:22" ht="13.5" thickBot="1" x14ac:dyDescent="0.25">
      <c r="A72" s="164"/>
      <c r="B72" s="165"/>
      <c r="C72" s="165"/>
      <c r="D72" s="165"/>
      <c r="E72" s="160"/>
      <c r="F72" s="160"/>
      <c r="G72" s="165"/>
      <c r="H72" s="2"/>
      <c r="I72" s="2"/>
      <c r="J72" s="108">
        <f t="shared" si="16"/>
        <v>0</v>
      </c>
      <c r="K72" s="30">
        <f t="shared" si="17"/>
        <v>0</v>
      </c>
      <c r="L72" s="34"/>
      <c r="M72" s="114">
        <f t="shared" si="18"/>
        <v>0</v>
      </c>
      <c r="N72" s="2"/>
      <c r="O72" s="2"/>
      <c r="P72" s="2"/>
      <c r="Q72" s="2"/>
      <c r="R72" s="30">
        <f t="shared" si="19"/>
        <v>0</v>
      </c>
      <c r="S72" s="2"/>
      <c r="T72" t="s">
        <v>602</v>
      </c>
      <c r="U72" s="109">
        <v>1</v>
      </c>
    </row>
    <row r="73" spans="1:22" x14ac:dyDescent="0.2">
      <c r="A73" s="241"/>
      <c r="B73" s="18"/>
      <c r="C73" s="18"/>
      <c r="D73" s="18"/>
      <c r="E73" s="130"/>
      <c r="F73" s="130"/>
      <c r="G73" s="252"/>
      <c r="H73" s="2"/>
      <c r="I73" s="2"/>
      <c r="J73" s="108">
        <f t="shared" si="16"/>
        <v>0</v>
      </c>
      <c r="K73" s="30">
        <f t="shared" si="17"/>
        <v>0</v>
      </c>
      <c r="L73" s="34"/>
      <c r="M73" s="114">
        <f t="shared" si="18"/>
        <v>0</v>
      </c>
      <c r="N73" s="2"/>
      <c r="O73" s="2"/>
      <c r="P73" s="2"/>
      <c r="Q73" s="2"/>
      <c r="R73" s="30">
        <f t="shared" si="19"/>
        <v>0</v>
      </c>
      <c r="S73" s="2"/>
      <c r="T73" t="s">
        <v>602</v>
      </c>
      <c r="U73" s="109">
        <v>1</v>
      </c>
    </row>
    <row r="74" spans="1:22" x14ac:dyDescent="0.2">
      <c r="A74" s="393">
        <v>122</v>
      </c>
      <c r="B74" s="5">
        <v>29</v>
      </c>
      <c r="C74" s="162" t="s">
        <v>843</v>
      </c>
      <c r="D74" s="39">
        <v>45536</v>
      </c>
      <c r="E74" s="107" t="s">
        <v>655</v>
      </c>
      <c r="F74" s="2" t="s">
        <v>656</v>
      </c>
      <c r="G74" s="74" t="s">
        <v>657</v>
      </c>
      <c r="H74" s="2"/>
      <c r="I74" s="2"/>
      <c r="J74" s="108">
        <f t="shared" si="16"/>
        <v>32.47</v>
      </c>
      <c r="K74" s="30">
        <f t="shared" si="17"/>
        <v>40.587499999999999</v>
      </c>
      <c r="L74" s="34"/>
      <c r="M74" s="114">
        <f t="shared" si="18"/>
        <v>8.1174999999999997</v>
      </c>
      <c r="N74" s="2"/>
      <c r="O74" s="2"/>
      <c r="P74" s="2"/>
      <c r="Q74" s="2"/>
      <c r="R74" s="30">
        <f t="shared" si="19"/>
        <v>8.1174999999999997</v>
      </c>
      <c r="S74" s="2"/>
      <c r="T74" t="s">
        <v>602</v>
      </c>
      <c r="U74" s="109">
        <v>1</v>
      </c>
      <c r="V74">
        <v>32.47</v>
      </c>
    </row>
    <row r="75" spans="1:22" x14ac:dyDescent="0.2">
      <c r="A75" s="393">
        <v>124</v>
      </c>
      <c r="B75" s="5">
        <v>30</v>
      </c>
      <c r="C75" s="5">
        <v>1615713614</v>
      </c>
      <c r="D75" s="39">
        <v>45538</v>
      </c>
      <c r="E75" s="107" t="s">
        <v>615</v>
      </c>
      <c r="F75" s="2" t="s">
        <v>616</v>
      </c>
      <c r="G75" s="74" t="s">
        <v>596</v>
      </c>
      <c r="H75" s="2"/>
      <c r="I75" s="2"/>
      <c r="J75" s="108">
        <f t="shared" si="16"/>
        <v>1450.31</v>
      </c>
      <c r="K75" s="30">
        <f t="shared" si="17"/>
        <v>1812.8874999999998</v>
      </c>
      <c r="L75" s="34"/>
      <c r="M75" s="114">
        <f t="shared" si="18"/>
        <v>362.57749999999999</v>
      </c>
      <c r="N75" s="2"/>
      <c r="O75" s="2"/>
      <c r="P75" s="2"/>
      <c r="Q75" s="2"/>
      <c r="R75" s="30">
        <f t="shared" si="19"/>
        <v>362.57749999999999</v>
      </c>
      <c r="S75" s="2"/>
      <c r="T75" t="s">
        <v>602</v>
      </c>
      <c r="U75" s="109">
        <v>1</v>
      </c>
      <c r="V75">
        <v>1450.31</v>
      </c>
    </row>
    <row r="76" spans="1:22" x14ac:dyDescent="0.2">
      <c r="A76" s="393">
        <v>126</v>
      </c>
      <c r="B76" s="5">
        <v>31</v>
      </c>
      <c r="C76" s="5" t="s">
        <v>844</v>
      </c>
      <c r="D76" s="39">
        <v>45551</v>
      </c>
      <c r="E76" s="2" t="s">
        <v>845</v>
      </c>
      <c r="F76" s="2" t="s">
        <v>846</v>
      </c>
      <c r="G76" s="5" t="s">
        <v>620</v>
      </c>
      <c r="H76" s="2"/>
      <c r="I76" s="2"/>
      <c r="J76" s="108">
        <f t="shared" si="16"/>
        <v>1319.11</v>
      </c>
      <c r="K76" s="30">
        <f t="shared" si="17"/>
        <v>1648.8874999999998</v>
      </c>
      <c r="L76" s="34"/>
      <c r="M76" s="114">
        <f t="shared" si="18"/>
        <v>329.77749999999997</v>
      </c>
      <c r="N76" s="2"/>
      <c r="O76" s="2"/>
      <c r="P76" s="2"/>
      <c r="Q76" s="2"/>
      <c r="R76" s="30">
        <f t="shared" si="19"/>
        <v>329.77749999999997</v>
      </c>
      <c r="S76" s="2"/>
      <c r="T76" t="s">
        <v>602</v>
      </c>
      <c r="U76" s="109">
        <v>1</v>
      </c>
      <c r="V76">
        <v>1319.11</v>
      </c>
    </row>
    <row r="77" spans="1:22" ht="13.5" thickBot="1" x14ac:dyDescent="0.25">
      <c r="A77" s="393">
        <v>131</v>
      </c>
      <c r="B77" s="254">
        <v>32</v>
      </c>
      <c r="C77" s="254">
        <v>27</v>
      </c>
      <c r="D77" s="149">
        <v>45569</v>
      </c>
      <c r="E77" s="145" t="s">
        <v>848</v>
      </c>
      <c r="F77" s="145" t="s">
        <v>849</v>
      </c>
      <c r="G77" s="254" t="s">
        <v>850</v>
      </c>
      <c r="H77" s="2"/>
      <c r="I77" s="2"/>
      <c r="J77" s="108">
        <f t="shared" si="16"/>
        <v>700</v>
      </c>
      <c r="K77" s="30">
        <f t="shared" si="17"/>
        <v>875</v>
      </c>
      <c r="L77" s="34"/>
      <c r="M77" s="114">
        <f t="shared" si="18"/>
        <v>175</v>
      </c>
      <c r="N77" s="2"/>
      <c r="O77" s="2"/>
      <c r="P77" s="2"/>
      <c r="Q77" s="2"/>
      <c r="R77" s="30">
        <f t="shared" si="19"/>
        <v>175</v>
      </c>
      <c r="S77" s="2"/>
      <c r="T77" t="s">
        <v>602</v>
      </c>
      <c r="U77" s="109">
        <v>1</v>
      </c>
      <c r="V77">
        <v>700</v>
      </c>
    </row>
    <row r="78" spans="1:22" x14ac:dyDescent="0.2">
      <c r="A78" s="120"/>
      <c r="B78" s="18"/>
      <c r="C78" s="18"/>
      <c r="D78" s="18"/>
      <c r="E78" s="151"/>
      <c r="F78" s="151"/>
      <c r="G78" s="18"/>
      <c r="H78" s="2"/>
      <c r="I78" s="2"/>
      <c r="J78" s="108">
        <f t="shared" si="16"/>
        <v>0</v>
      </c>
      <c r="K78" s="30">
        <f t="shared" si="17"/>
        <v>0</v>
      </c>
      <c r="L78" s="34"/>
      <c r="M78" s="114">
        <f t="shared" si="18"/>
        <v>0</v>
      </c>
      <c r="N78" s="2"/>
      <c r="O78" s="2"/>
      <c r="P78" s="2"/>
      <c r="Q78" s="2"/>
      <c r="R78" s="30">
        <f t="shared" si="19"/>
        <v>0</v>
      </c>
      <c r="S78" s="2"/>
      <c r="T78" t="s">
        <v>602</v>
      </c>
      <c r="U78" s="109">
        <v>1</v>
      </c>
    </row>
    <row r="79" spans="1:22" x14ac:dyDescent="0.2">
      <c r="A79" s="241"/>
      <c r="B79" s="319" t="s">
        <v>851</v>
      </c>
      <c r="C79" s="320"/>
      <c r="D79" s="320"/>
      <c r="E79" s="320"/>
      <c r="F79" s="320"/>
      <c r="G79" s="321"/>
      <c r="H79" s="2"/>
      <c r="I79" s="2"/>
      <c r="J79" s="108">
        <f t="shared" si="16"/>
        <v>0</v>
      </c>
      <c r="K79" s="30">
        <f t="shared" si="17"/>
        <v>0</v>
      </c>
      <c r="L79" s="34"/>
      <c r="M79" s="114">
        <f t="shared" si="18"/>
        <v>0</v>
      </c>
      <c r="N79" s="2"/>
      <c r="O79" s="2"/>
      <c r="P79" s="2"/>
      <c r="Q79" s="2"/>
      <c r="R79" s="30">
        <f t="shared" si="19"/>
        <v>0</v>
      </c>
      <c r="S79" s="2"/>
      <c r="T79" t="s">
        <v>602</v>
      </c>
      <c r="U79" s="109">
        <v>1</v>
      </c>
    </row>
    <row r="80" spans="1:22" ht="13.5" thickBot="1" x14ac:dyDescent="0.25">
      <c r="A80" s="164"/>
      <c r="B80" s="165"/>
      <c r="C80" s="165"/>
      <c r="D80" s="165"/>
      <c r="E80" s="160"/>
      <c r="F80" s="160"/>
      <c r="G80" s="165"/>
      <c r="H80" s="2"/>
      <c r="I80" s="2"/>
      <c r="J80" s="108">
        <f t="shared" si="16"/>
        <v>0</v>
      </c>
      <c r="K80" s="30">
        <f t="shared" si="17"/>
        <v>0</v>
      </c>
      <c r="L80" s="34"/>
      <c r="M80" s="114">
        <f t="shared" si="18"/>
        <v>0</v>
      </c>
      <c r="N80" s="2"/>
      <c r="O80" s="2"/>
      <c r="P80" s="2"/>
      <c r="Q80" s="2"/>
      <c r="R80" s="30">
        <f t="shared" si="19"/>
        <v>0</v>
      </c>
      <c r="S80" s="2"/>
      <c r="T80" t="s">
        <v>602</v>
      </c>
      <c r="U80" s="109">
        <v>1</v>
      </c>
    </row>
    <row r="81" spans="1:22" x14ac:dyDescent="0.2">
      <c r="A81" s="241"/>
      <c r="B81" s="255"/>
      <c r="C81" s="255"/>
      <c r="D81" s="255"/>
      <c r="E81" s="154"/>
      <c r="F81" s="154"/>
      <c r="G81" s="255"/>
      <c r="H81" s="2"/>
      <c r="I81" s="2"/>
      <c r="J81" s="108">
        <f t="shared" si="16"/>
        <v>0</v>
      </c>
      <c r="K81" s="30">
        <f t="shared" si="17"/>
        <v>0</v>
      </c>
      <c r="L81" s="34"/>
      <c r="M81" s="114">
        <f t="shared" si="18"/>
        <v>0</v>
      </c>
      <c r="N81" s="2"/>
      <c r="O81" s="2"/>
      <c r="P81" s="2"/>
      <c r="Q81" s="2"/>
      <c r="R81" s="30">
        <f t="shared" si="19"/>
        <v>0</v>
      </c>
      <c r="S81" s="2"/>
      <c r="T81" t="s">
        <v>602</v>
      </c>
      <c r="U81" s="109">
        <v>1</v>
      </c>
    </row>
    <row r="82" spans="1:22" x14ac:dyDescent="0.2">
      <c r="A82" s="251">
        <v>150</v>
      </c>
      <c r="B82" s="5">
        <v>33</v>
      </c>
      <c r="C82" s="5">
        <v>792024</v>
      </c>
      <c r="D82" s="39">
        <v>45596</v>
      </c>
      <c r="E82" s="107" t="s">
        <v>688</v>
      </c>
      <c r="F82" s="2" t="s">
        <v>689</v>
      </c>
      <c r="G82" s="74" t="s">
        <v>690</v>
      </c>
      <c r="H82" s="2"/>
      <c r="I82" s="2"/>
      <c r="J82" s="108">
        <f t="shared" si="16"/>
        <v>215</v>
      </c>
      <c r="K82" s="30">
        <f t="shared" si="17"/>
        <v>268.75</v>
      </c>
      <c r="L82" s="34"/>
      <c r="M82" s="114">
        <f t="shared" si="18"/>
        <v>53.75</v>
      </c>
      <c r="N82" s="2"/>
      <c r="O82" s="2"/>
      <c r="P82" s="2"/>
      <c r="Q82" s="2"/>
      <c r="R82" s="30">
        <f t="shared" si="19"/>
        <v>53.75</v>
      </c>
      <c r="S82" s="2"/>
      <c r="T82" t="s">
        <v>602</v>
      </c>
      <c r="U82" s="109">
        <v>1</v>
      </c>
      <c r="V82">
        <v>215</v>
      </c>
    </row>
    <row r="83" spans="1:22" x14ac:dyDescent="0.2">
      <c r="A83" s="251">
        <v>156</v>
      </c>
      <c r="B83" s="5">
        <v>34</v>
      </c>
      <c r="C83" s="5">
        <v>20006776</v>
      </c>
      <c r="D83" s="39">
        <v>45624</v>
      </c>
      <c r="E83" s="107" t="s">
        <v>692</v>
      </c>
      <c r="F83" s="2" t="s">
        <v>693</v>
      </c>
      <c r="G83" s="74" t="s">
        <v>694</v>
      </c>
      <c r="H83" s="2"/>
      <c r="I83" s="2"/>
      <c r="J83" s="108">
        <f t="shared" si="16"/>
        <v>147</v>
      </c>
      <c r="K83" s="30">
        <f t="shared" si="17"/>
        <v>183.75</v>
      </c>
      <c r="L83" s="34"/>
      <c r="M83" s="114">
        <f t="shared" si="18"/>
        <v>36.75</v>
      </c>
      <c r="N83" s="2"/>
      <c r="O83" s="2"/>
      <c r="P83" s="2"/>
      <c r="Q83" s="2"/>
      <c r="R83" s="30">
        <f t="shared" si="19"/>
        <v>36.75</v>
      </c>
      <c r="S83" s="2"/>
      <c r="T83" t="s">
        <v>602</v>
      </c>
      <c r="U83" s="109">
        <v>1</v>
      </c>
      <c r="V83">
        <v>147</v>
      </c>
    </row>
    <row r="84" spans="1:22" x14ac:dyDescent="0.2">
      <c r="A84" s="251">
        <v>169</v>
      </c>
      <c r="B84" s="5">
        <v>35</v>
      </c>
      <c r="C84" s="5">
        <v>20241412</v>
      </c>
      <c r="D84" s="39">
        <v>45646</v>
      </c>
      <c r="E84" s="107" t="s">
        <v>669</v>
      </c>
      <c r="F84" s="2" t="s">
        <v>670</v>
      </c>
      <c r="G84" s="74" t="s">
        <v>671</v>
      </c>
      <c r="H84" s="2"/>
      <c r="I84" s="2"/>
      <c r="J84" s="108">
        <f t="shared" si="16"/>
        <v>303.32</v>
      </c>
      <c r="K84" s="30">
        <f t="shared" si="17"/>
        <v>379.15</v>
      </c>
      <c r="L84" s="34"/>
      <c r="M84" s="114">
        <f t="shared" si="18"/>
        <v>75.83</v>
      </c>
      <c r="N84" s="2"/>
      <c r="O84" s="2"/>
      <c r="P84" s="2"/>
      <c r="Q84" s="2"/>
      <c r="R84" s="30">
        <f t="shared" si="19"/>
        <v>75.83</v>
      </c>
      <c r="S84" s="2"/>
      <c r="T84" t="s">
        <v>602</v>
      </c>
      <c r="U84" s="109">
        <v>1</v>
      </c>
      <c r="V84">
        <v>303.32</v>
      </c>
    </row>
    <row r="85" spans="1:22" ht="13.5" thickBot="1" x14ac:dyDescent="0.25">
      <c r="A85" s="241"/>
      <c r="B85" s="257"/>
      <c r="C85" s="257"/>
      <c r="D85" s="257"/>
      <c r="E85" s="145"/>
      <c r="F85" s="145"/>
      <c r="G85" s="257"/>
      <c r="H85" s="2"/>
      <c r="I85" s="2"/>
      <c r="J85" s="108">
        <f t="shared" si="16"/>
        <v>0</v>
      </c>
      <c r="K85" s="30">
        <f t="shared" si="17"/>
        <v>0</v>
      </c>
      <c r="L85" s="34"/>
      <c r="M85" s="114">
        <f t="shared" si="18"/>
        <v>0</v>
      </c>
      <c r="N85" s="2"/>
      <c r="O85" s="2"/>
      <c r="P85" s="2"/>
      <c r="Q85" s="2"/>
      <c r="R85" s="30">
        <f t="shared" si="19"/>
        <v>0</v>
      </c>
      <c r="S85" s="2"/>
      <c r="T85" t="s">
        <v>602</v>
      </c>
      <c r="U85" s="109">
        <v>1</v>
      </c>
    </row>
    <row r="86" spans="1:22" x14ac:dyDescent="0.2">
      <c r="A86" s="120"/>
      <c r="B86" s="18"/>
      <c r="C86" s="18"/>
      <c r="D86" s="18"/>
      <c r="E86" s="151"/>
      <c r="F86" s="151"/>
      <c r="G86" s="18"/>
      <c r="H86" s="2"/>
      <c r="I86" s="2"/>
      <c r="J86" s="108">
        <f t="shared" si="16"/>
        <v>0</v>
      </c>
      <c r="K86" s="30">
        <f t="shared" si="17"/>
        <v>0</v>
      </c>
      <c r="L86" s="34"/>
      <c r="M86" s="114">
        <f t="shared" si="18"/>
        <v>0</v>
      </c>
      <c r="N86" s="2"/>
      <c r="O86" s="2"/>
      <c r="P86" s="2"/>
      <c r="Q86" s="2"/>
      <c r="R86" s="30">
        <f t="shared" si="19"/>
        <v>0</v>
      </c>
      <c r="S86" s="2"/>
      <c r="T86" t="s">
        <v>602</v>
      </c>
      <c r="U86" s="109">
        <v>1</v>
      </c>
    </row>
    <row r="87" spans="1:22" x14ac:dyDescent="0.2">
      <c r="A87" s="241"/>
      <c r="B87" s="316" t="s">
        <v>853</v>
      </c>
      <c r="C87" s="317"/>
      <c r="D87" s="317"/>
      <c r="E87" s="317"/>
      <c r="F87" s="317"/>
      <c r="G87" s="318"/>
      <c r="H87" s="2"/>
      <c r="I87" s="2"/>
      <c r="J87" s="108">
        <f t="shared" si="16"/>
        <v>0</v>
      </c>
      <c r="K87" s="30">
        <f t="shared" si="17"/>
        <v>0</v>
      </c>
      <c r="L87" s="34"/>
      <c r="M87" s="114">
        <f t="shared" si="18"/>
        <v>0</v>
      </c>
      <c r="N87" s="2"/>
      <c r="O87" s="2"/>
      <c r="P87" s="2"/>
      <c r="Q87" s="2"/>
      <c r="R87" s="30">
        <f t="shared" si="19"/>
        <v>0</v>
      </c>
      <c r="S87" s="2"/>
      <c r="T87" t="s">
        <v>602</v>
      </c>
      <c r="U87" s="109">
        <v>1</v>
      </c>
    </row>
    <row r="88" spans="1:22" x14ac:dyDescent="0.2">
      <c r="J88" s="184">
        <f>SUM(J29:J87)</f>
        <v>13611.089999999997</v>
      </c>
      <c r="K88" s="184">
        <f>SUM(K29:K87)</f>
        <v>17013.862500000003</v>
      </c>
      <c r="L88" s="35"/>
      <c r="R88" s="35">
        <f>SUM(R29:R87)</f>
        <v>3402.7724999999991</v>
      </c>
    </row>
    <row r="90" spans="1:22" x14ac:dyDescent="0.2">
      <c r="T90" s="5" t="s">
        <v>605</v>
      </c>
      <c r="U90" s="35"/>
      <c r="V90" s="35"/>
    </row>
    <row r="91" spans="1:22" x14ac:dyDescent="0.2">
      <c r="U91" s="35"/>
      <c r="V91" s="35"/>
    </row>
  </sheetData>
  <mergeCells count="43">
    <mergeCell ref="B87:G87"/>
    <mergeCell ref="B57:G57"/>
    <mergeCell ref="B63:G63"/>
    <mergeCell ref="T19:T28"/>
    <mergeCell ref="U19:U28"/>
    <mergeCell ref="E28:F28"/>
    <mergeCell ref="M21:M27"/>
    <mergeCell ref="Q23:Q27"/>
    <mergeCell ref="R23:R27"/>
    <mergeCell ref="S23:S27"/>
    <mergeCell ref="H26:H27"/>
    <mergeCell ref="I26:I27"/>
    <mergeCell ref="J26:J27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P21:Q22"/>
    <mergeCell ref="R21:S22"/>
    <mergeCell ref="N23:N27"/>
    <mergeCell ref="O23:O27"/>
    <mergeCell ref="P23:P27"/>
    <mergeCell ref="B79:G79"/>
    <mergeCell ref="B71:G71"/>
    <mergeCell ref="O16:R16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  <mergeCell ref="G15:K16"/>
    <mergeCell ref="K21:K27"/>
    <mergeCell ref="N21:O22"/>
  </mergeCells>
  <pageMargins left="0.70866141732283472" right="0.70866141732283472" top="0.74803149606299213" bottom="0.74803149606299213" header="0.31496062992125984" footer="0.31496062992125984"/>
  <pageSetup paperSize="9" scale="2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N1048573"/>
  <sheetViews>
    <sheetView showZeros="0" tabSelected="1" topLeftCell="A186" zoomScale="85" zoomScaleNormal="85" workbookViewId="0">
      <selection activeCell="D239" sqref="D239"/>
    </sheetView>
  </sheetViews>
  <sheetFormatPr baseColWidth="10" defaultColWidth="9" defaultRowHeight="12.75" x14ac:dyDescent="0.2"/>
  <cols>
    <col min="3" max="3" width="19.75" bestFit="1" customWidth="1"/>
    <col min="4" max="4" width="11.75" customWidth="1"/>
    <col min="5" max="5" width="17.625" bestFit="1" customWidth="1"/>
    <col min="6" max="6" width="41.75" customWidth="1"/>
    <col min="7" max="7" width="16.625" customWidth="1"/>
    <col min="10" max="10" width="14.375" customWidth="1"/>
    <col min="11" max="11" width="12.75" customWidth="1"/>
    <col min="12" max="12" width="33.625" hidden="1" customWidth="1"/>
    <col min="13" max="13" width="23" customWidth="1"/>
    <col min="14" max="17" width="10" customWidth="1"/>
    <col min="18" max="18" width="14.125" customWidth="1"/>
    <col min="19" max="19" width="10" customWidth="1"/>
  </cols>
  <sheetData>
    <row r="1" spans="1:18" x14ac:dyDescent="0.2">
      <c r="A1" s="281" t="str">
        <f>NASLOV!B5</f>
        <v>Markus Renz</v>
      </c>
      <c r="B1" s="281"/>
      <c r="C1" s="281"/>
      <c r="D1" s="281"/>
      <c r="E1" s="281"/>
      <c r="F1" s="281"/>
    </row>
    <row r="2" spans="1:18" x14ac:dyDescent="0.2">
      <c r="A2" s="281"/>
      <c r="B2" s="281"/>
      <c r="C2" s="281"/>
      <c r="D2" s="281"/>
      <c r="E2" s="281"/>
      <c r="F2" s="281"/>
    </row>
    <row r="3" spans="1:18" x14ac:dyDescent="0.2">
      <c r="C3" s="259" t="str">
        <f>INDEX(PRIJEVODI!B:D,MATCH("URA-001",PRIJEVODI!A:A,0),MATCH(NASLOV!$B$2,PRIJEVODI!$B$1:$D$1,0))</f>
        <v>STEUERPFLICHTIGER: NAME / NACHNAME</v>
      </c>
      <c r="D3" s="259"/>
      <c r="E3" s="259"/>
      <c r="F3" s="259"/>
      <c r="Q3" s="267"/>
      <c r="R3" s="267"/>
    </row>
    <row r="4" spans="1:18" x14ac:dyDescent="0.2">
      <c r="C4" s="280" t="str">
        <f>NASLOV!B7</f>
        <v>Am Sonnblick 6, Lichtenau</v>
      </c>
      <c r="D4" s="280"/>
      <c r="E4" s="280"/>
      <c r="F4" s="280"/>
    </row>
    <row r="5" spans="1:18" x14ac:dyDescent="0.2">
      <c r="C5" s="280"/>
      <c r="D5" s="280"/>
      <c r="E5" s="280"/>
      <c r="F5" s="280"/>
    </row>
    <row r="6" spans="1:18" x14ac:dyDescent="0.2">
      <c r="C6" s="259" t="str">
        <f>INDEX(PRIJEVODI!B:D,MATCH("URA-002",PRIJEVODI!A:A,0),MATCH(NASLOV!$B$2,PRIJEVODI!$B$1:$D$1,0))</f>
        <v>ADRESSE: ORT, STRASSE UND HAUSNUMMER</v>
      </c>
      <c r="D6" s="259"/>
      <c r="E6" s="259"/>
      <c r="F6" s="259"/>
    </row>
    <row r="7" spans="1:18" x14ac:dyDescent="0.2">
      <c r="C7" s="282"/>
      <c r="D7" s="282"/>
      <c r="E7" s="282"/>
      <c r="F7" s="282"/>
    </row>
    <row r="8" spans="1:18" x14ac:dyDescent="0.2">
      <c r="C8" s="282"/>
      <c r="D8" s="282"/>
      <c r="E8" s="282"/>
      <c r="F8" s="282"/>
    </row>
    <row r="9" spans="1:18" x14ac:dyDescent="0.2">
      <c r="C9" s="259" t="str">
        <f>INDEX(PRIJEVODI!B:D,MATCH("URA-003",PRIJEVODI!A:A,0),MATCH(NASLOV!$B$2,PRIJEVODI!$B$1:$D$1,0))</f>
        <v xml:space="preserve">NUMMERIERUNG GEMÄSS DEM NATIONALEN KLASSIFIZIERUNGSSYSTEM  </v>
      </c>
      <c r="D9" s="259"/>
      <c r="E9" s="259"/>
      <c r="F9" s="259"/>
    </row>
    <row r="10" spans="1:18" x14ac:dyDescent="0.2">
      <c r="C10" s="259"/>
      <c r="D10" s="259"/>
      <c r="E10" s="259"/>
      <c r="F10" s="259"/>
    </row>
    <row r="11" spans="1:18" x14ac:dyDescent="0.2">
      <c r="C11" s="280" t="str">
        <f>NASLOV!B9</f>
        <v>HR6411581446</v>
      </c>
      <c r="D11" s="280"/>
      <c r="E11" s="280"/>
      <c r="F11" s="280"/>
    </row>
    <row r="12" spans="1:18" x14ac:dyDescent="0.2">
      <c r="C12" s="280"/>
      <c r="D12" s="280"/>
      <c r="E12" s="280"/>
      <c r="F12" s="280"/>
    </row>
    <row r="13" spans="1:18" x14ac:dyDescent="0.2">
      <c r="C13" s="259" t="str">
        <f>INDEX(PRIJEVODI!B:D,MATCH("URA-004",PRIJEVODI!A:A,0),MATCH(NASLOV!$B$2,PRIJEVODI!$B$1:$D$1,0))</f>
        <v>STEUERNUMMER (UID)</v>
      </c>
      <c r="D13" s="259"/>
      <c r="E13" s="259"/>
      <c r="F13" s="259"/>
    </row>
    <row r="15" spans="1:18" x14ac:dyDescent="0.2">
      <c r="G15" s="306" t="str">
        <f>INDEX(PRIJEVODI!B:D,MATCH("URA-005",PRIJEVODI!A:A,0),MATCH(NASLOV!$B$2,PRIJEVODI!$B$1:$D$1,0))</f>
        <v>EINGANGSRECHNUNGBUCH</v>
      </c>
      <c r="H15" s="267"/>
      <c r="I15" s="267"/>
      <c r="J15" s="267"/>
      <c r="K15" s="267"/>
      <c r="L15" s="279" t="s">
        <v>580</v>
      </c>
    </row>
    <row r="16" spans="1:18" x14ac:dyDescent="0.2">
      <c r="G16" s="267"/>
      <c r="H16" s="267"/>
      <c r="I16" s="267"/>
      <c r="J16" s="267"/>
      <c r="K16" s="267"/>
      <c r="L16" s="279"/>
      <c r="O16" s="267" t="str">
        <f>INDEX(PRIJEVODI!B:D,MATCH("URA-006",PRIJEVODI!A:A,0),MATCH(NASLOV!$B$2,PRIJEVODI!$B$1:$D$1,0))</f>
        <v>BETRAG IN KUNA UND LIPA</v>
      </c>
      <c r="P16" s="267"/>
      <c r="Q16" s="267"/>
      <c r="R16" s="267"/>
    </row>
    <row r="19" spans="1:20" ht="12.75" customHeight="1" x14ac:dyDescent="0.2">
      <c r="B19" s="283" t="str">
        <f>INDEX(PRIJEVODI!B:D,MATCH("URA-007",PRIJEVODI!A:A,0),MATCH(NASLOV!$B$2,PRIJEVODI!$B$1:$D$1,0))</f>
        <v xml:space="preserve">ORDNUNGSNUMMER </v>
      </c>
      <c r="C19" s="271" t="str">
        <f>INDEX(PRIJEVODI!B:D,MATCH("URA-008",PRIJEVODI!A:A,0),MATCH(NASLOV!$B$2,PRIJEVODI!$B$1:$D$1,0))</f>
        <v>RECHNUNG</v>
      </c>
      <c r="D19" s="286"/>
      <c r="E19" s="331" t="str">
        <f>INDEX(PRIJEVODI!B:D,MATCH("URA-011",PRIJEVODI!A:A,0),MATCH(NASLOV!$B$2,PRIJEVODI!$B$1:$D$1,0))</f>
        <v>LIEFERANT (ANBIETER VON WAREN UND DIENSTLEISTUNGEN)</v>
      </c>
      <c r="F19" s="322"/>
      <c r="G19" s="322"/>
      <c r="H19" s="322"/>
      <c r="I19" s="322"/>
      <c r="J19" s="322"/>
      <c r="K19" s="322"/>
      <c r="L19" s="322"/>
      <c r="M19" s="323"/>
      <c r="N19" s="271" t="str">
        <f>INDEX(PRIJEVODI!B:D,MATCH("URA-020",PRIJEVODI!A:A,0),MATCH(NASLOV!$B$2,PRIJEVODI!$B$1:$D$1,0))</f>
        <v>STEUER</v>
      </c>
      <c r="O19" s="272"/>
      <c r="P19" s="272"/>
      <c r="Q19" s="272"/>
      <c r="R19" s="272"/>
      <c r="S19" s="278"/>
    </row>
    <row r="20" spans="1:20" x14ac:dyDescent="0.2">
      <c r="B20" s="284"/>
      <c r="C20" s="287"/>
      <c r="D20" s="288"/>
      <c r="E20" s="265"/>
      <c r="F20" s="326"/>
      <c r="G20" s="326"/>
      <c r="H20" s="326"/>
      <c r="I20" s="326"/>
      <c r="J20" s="326"/>
      <c r="K20" s="326"/>
      <c r="L20" s="326"/>
      <c r="M20" s="327"/>
      <c r="N20" s="274"/>
      <c r="O20" s="275"/>
      <c r="P20" s="275"/>
      <c r="Q20" s="275"/>
      <c r="R20" s="275"/>
      <c r="S20" s="276"/>
    </row>
    <row r="21" spans="1:20" ht="12.75" customHeight="1" x14ac:dyDescent="0.2">
      <c r="B21" s="284"/>
      <c r="C21" s="260" t="str">
        <f>INDEX(PRIJEVODI!B:D,MATCH("URA-009",PRIJEVODI!A:A,0),MATCH(NASLOV!$B$2,PRIJEVODI!$B$1:$D$1,0))</f>
        <v xml:space="preserve">NUMMER </v>
      </c>
      <c r="D21" s="260" t="str">
        <f>INDEX(PRIJEVODI!B:D,MATCH("URA-010",PRIJEVODI!A:A,0),MATCH(NASLOV!$B$2,PRIJEVODI!$B$1:$D$1,0))</f>
        <v>DATUM</v>
      </c>
      <c r="E21" s="295" t="str">
        <f>INDEX(PRIJEVODI!B:D,MATCH("URA-012",PRIJEVODI!A:A,0),MATCH(NASLOV!$B$2,PRIJEVODI!$B$1:$D$1,0))</f>
        <v>TITEL - NAME UND NACHNAME, GESCHÄFTSSITZ / SITZORT</v>
      </c>
      <c r="F21" s="296"/>
      <c r="G21" s="301" t="str">
        <f>INDEX(PRIJEVODI!B:D,MATCH("URA-013",PRIJEVODI!A:A,0),MATCH(NASLOV!$B$2,PRIJEVODI!$B$1:$D$1,0))</f>
        <v>STEUERNUMMER (UID)</v>
      </c>
      <c r="H21" s="263" t="str">
        <f>INDEX(PRIJEVODI!B:D,MATCH("URA-014",PRIJEVODI!A:A,0),MATCH(NASLOV!$B$2,PRIJEVODI!$B$1:$D$1,0))</f>
        <v>LIEFERWERT</v>
      </c>
      <c r="I21" s="322"/>
      <c r="J21" s="323"/>
      <c r="K21" s="301" t="str">
        <f>INDEX(PRIJEVODI!B:D,MATCH("URA-018",PRIJEVODI!A:A,0),MATCH(NASLOV!$B$2,PRIJEVODI!$B$1:$D$1,0))</f>
        <v>GESAMTBETRAG DER RECHNUNG INKLUSIVE MwST.</v>
      </c>
      <c r="L21" s="45"/>
      <c r="M21" s="260" t="str">
        <f>INDEX(PRIJEVODI!B:D,MATCH("URA-030",PRIJEVODI!A:A,0),MATCH(NASLOV!$B$2,PRIJEVODI!$B$1:$D$1,0))</f>
        <v>TOTAL</v>
      </c>
      <c r="N21" s="277">
        <v>0.05</v>
      </c>
      <c r="O21" s="278"/>
      <c r="P21" s="277">
        <v>0.13</v>
      </c>
      <c r="Q21" s="278"/>
      <c r="R21" s="277">
        <v>0.25</v>
      </c>
      <c r="S21" s="278"/>
    </row>
    <row r="22" spans="1:20" x14ac:dyDescent="0.2">
      <c r="B22" s="284"/>
      <c r="C22" s="261"/>
      <c r="D22" s="261"/>
      <c r="E22" s="297"/>
      <c r="F22" s="298"/>
      <c r="G22" s="302"/>
      <c r="H22" s="264"/>
      <c r="I22" s="324"/>
      <c r="J22" s="325"/>
      <c r="K22" s="302"/>
      <c r="L22" s="46"/>
      <c r="M22" s="261"/>
      <c r="N22" s="274"/>
      <c r="O22" s="276"/>
      <c r="P22" s="274"/>
      <c r="Q22" s="276"/>
      <c r="R22" s="274"/>
      <c r="S22" s="276"/>
    </row>
    <row r="23" spans="1:20" x14ac:dyDescent="0.2">
      <c r="B23" s="284"/>
      <c r="C23" s="261"/>
      <c r="D23" s="261"/>
      <c r="E23" s="297"/>
      <c r="F23" s="298"/>
      <c r="G23" s="302"/>
      <c r="H23" s="264"/>
      <c r="I23" s="324"/>
      <c r="J23" s="325"/>
      <c r="K23" s="302"/>
      <c r="L23" s="46"/>
      <c r="M23" s="261"/>
      <c r="N23" s="301" t="str">
        <f>INDEX(PRIJEVODI!B:D,MATCH("URA-022",PRIJEVODI!A:A,0),MATCH(NASLOV!$B$2,PRIJEVODI!$B$1:$D$1,0))</f>
        <v>ABZUGSFÄHIG</v>
      </c>
      <c r="O23" s="301" t="str">
        <f>INDEX(PRIJEVODI!B:D,MATCH("URA-023",PRIJEVODI!A:A,0),MATCH(NASLOV!$B$2,PRIJEVODI!$B$1:$D$1,0))</f>
        <v>NICHT ABZUGSFÄHIG</v>
      </c>
      <c r="P23" s="301" t="str">
        <f>INDEX(PRIJEVODI!B:D,MATCH("URA-025",PRIJEVODI!A:A,0),MATCH(NASLOV!$B$2,PRIJEVODI!$B$1:$D$1,0))</f>
        <v>ABZUGSFÄHIG</v>
      </c>
      <c r="Q23" s="301" t="str">
        <f>INDEX(PRIJEVODI!B:D,MATCH("URA-026",PRIJEVODI!A:A,0),MATCH(NASLOV!$B$2,PRIJEVODI!$B$1:$D$1,0))</f>
        <v>NICHT ABZUGSFÄHIG</v>
      </c>
      <c r="R23" s="301" t="str">
        <f>INDEX(PRIJEVODI!B:D,MATCH("URA-028",PRIJEVODI!A:A,0),MATCH(NASLOV!$B$2,PRIJEVODI!$B$1:$D$1,0))</f>
        <v>ABZUGSFÄHIG</v>
      </c>
      <c r="S23" s="301" t="str">
        <f>INDEX(PRIJEVODI!B:D,MATCH("URA-029",PRIJEVODI!A:A,0),MATCH(NASLOV!$B$2,PRIJEVODI!$B$1:$D$1,0))</f>
        <v>NICHT ABZUGSFÄHIG</v>
      </c>
    </row>
    <row r="24" spans="1:20" x14ac:dyDescent="0.2">
      <c r="B24" s="284"/>
      <c r="C24" s="261"/>
      <c r="D24" s="261"/>
      <c r="E24" s="297"/>
      <c r="F24" s="298"/>
      <c r="G24" s="302"/>
      <c r="H24" s="264"/>
      <c r="I24" s="324"/>
      <c r="J24" s="325"/>
      <c r="K24" s="302"/>
      <c r="L24" s="48" t="str">
        <f>INDEX(PRIJEVODI!B:D,MATCH("URA-019",PRIJEVODI!A:A,0),MATCH(NASLOV!$B$2,PRIJEVODI!$B$1:$D$1,0))</f>
        <v>STEUERBEFREIUNGEN / ABZUGSFÄHIG</v>
      </c>
      <c r="M24" s="261"/>
      <c r="N24" s="302"/>
      <c r="O24" s="302"/>
      <c r="P24" s="302"/>
      <c r="Q24" s="302"/>
      <c r="R24" s="302"/>
      <c r="S24" s="302"/>
    </row>
    <row r="25" spans="1:20" x14ac:dyDescent="0.2">
      <c r="B25" s="284"/>
      <c r="C25" s="261"/>
      <c r="D25" s="261"/>
      <c r="E25" s="297"/>
      <c r="F25" s="298"/>
      <c r="G25" s="302"/>
      <c r="H25" s="265"/>
      <c r="I25" s="326"/>
      <c r="J25" s="327"/>
      <c r="K25" s="302"/>
      <c r="L25" s="46"/>
      <c r="M25" s="261"/>
      <c r="N25" s="302"/>
      <c r="O25" s="302"/>
      <c r="P25" s="302"/>
      <c r="Q25" s="302"/>
      <c r="R25" s="302"/>
      <c r="S25" s="302"/>
    </row>
    <row r="26" spans="1:20" x14ac:dyDescent="0.2">
      <c r="B26" s="284"/>
      <c r="C26" s="261"/>
      <c r="D26" s="261"/>
      <c r="E26" s="297"/>
      <c r="F26" s="298"/>
      <c r="G26" s="302"/>
      <c r="H26" s="330">
        <v>0.05</v>
      </c>
      <c r="I26" s="330">
        <v>0.13</v>
      </c>
      <c r="J26" s="330">
        <v>0.25</v>
      </c>
      <c r="K26" s="302"/>
      <c r="L26" s="46"/>
      <c r="M26" s="261"/>
      <c r="N26" s="302"/>
      <c r="O26" s="302"/>
      <c r="P26" s="302"/>
      <c r="Q26" s="302"/>
      <c r="R26" s="302"/>
      <c r="S26" s="302"/>
    </row>
    <row r="27" spans="1:20" x14ac:dyDescent="0.2">
      <c r="B27" s="285"/>
      <c r="C27" s="262"/>
      <c r="D27" s="262"/>
      <c r="E27" s="299"/>
      <c r="F27" s="300"/>
      <c r="G27" s="303"/>
      <c r="H27" s="262"/>
      <c r="I27" s="262"/>
      <c r="J27" s="262"/>
      <c r="K27" s="303"/>
      <c r="L27" s="47"/>
      <c r="M27" s="262"/>
      <c r="N27" s="303"/>
      <c r="O27" s="303"/>
      <c r="P27" s="303"/>
      <c r="Q27" s="303"/>
      <c r="R27" s="303"/>
      <c r="S27" s="303"/>
    </row>
    <row r="28" spans="1:20" ht="13.5" thickBot="1" x14ac:dyDescent="0.25">
      <c r="A28" s="112" t="s">
        <v>590</v>
      </c>
      <c r="B28" s="33">
        <v>1</v>
      </c>
      <c r="C28" s="33">
        <v>2</v>
      </c>
      <c r="D28" s="33">
        <v>3</v>
      </c>
      <c r="E28" s="263">
        <v>4</v>
      </c>
      <c r="F28" s="323"/>
      <c r="G28" s="33">
        <v>5</v>
      </c>
      <c r="H28" s="33">
        <v>6</v>
      </c>
      <c r="I28" s="33">
        <v>7</v>
      </c>
      <c r="J28" s="33">
        <v>8</v>
      </c>
      <c r="K28" s="33">
        <v>9</v>
      </c>
      <c r="L28" s="33"/>
      <c r="M28" s="33" t="s">
        <v>0</v>
      </c>
      <c r="N28" s="33">
        <v>11</v>
      </c>
      <c r="O28" s="67">
        <v>12</v>
      </c>
      <c r="P28" s="33">
        <v>13</v>
      </c>
      <c r="Q28" s="67">
        <v>14</v>
      </c>
      <c r="R28" s="33">
        <v>15</v>
      </c>
      <c r="S28" s="67">
        <v>16</v>
      </c>
    </row>
    <row r="29" spans="1:20" ht="13.5" thickBot="1" x14ac:dyDescent="0.25">
      <c r="A29" s="120" t="s">
        <v>610</v>
      </c>
      <c r="B29" s="139">
        <v>66</v>
      </c>
      <c r="C29" s="136" t="s">
        <v>611</v>
      </c>
      <c r="D29" s="140">
        <v>45077</v>
      </c>
      <c r="E29" s="130" t="s">
        <v>612</v>
      </c>
      <c r="F29" s="131" t="s">
        <v>613</v>
      </c>
      <c r="G29" s="132">
        <v>96860569005</v>
      </c>
      <c r="H29" s="121"/>
      <c r="I29" s="121"/>
      <c r="J29" s="122">
        <v>978</v>
      </c>
      <c r="K29" s="123">
        <f t="shared" ref="K29:K51" si="0">H29+I29+J29+M29</f>
        <v>1222.5</v>
      </c>
      <c r="L29" s="124"/>
      <c r="M29" s="124">
        <f>SUM(N29:S29)</f>
        <v>244.5</v>
      </c>
      <c r="N29" s="64">
        <f t="shared" ref="N29:N92" si="1">H29*0.05</f>
        <v>0</v>
      </c>
      <c r="O29" s="125"/>
      <c r="P29" s="124">
        <f>+I29*0.13</f>
        <v>0</v>
      </c>
      <c r="Q29" s="125"/>
      <c r="R29" s="124">
        <f t="shared" ref="R29:R34" si="2">J29*0.25</f>
        <v>244.5</v>
      </c>
      <c r="S29" s="125"/>
      <c r="T29" s="101"/>
    </row>
    <row r="30" spans="1:20" x14ac:dyDescent="0.2">
      <c r="A30" s="188">
        <v>84</v>
      </c>
      <c r="B30" s="144">
        <v>67</v>
      </c>
      <c r="C30" s="137" t="s">
        <v>614</v>
      </c>
      <c r="D30" s="141">
        <v>45202</v>
      </c>
      <c r="E30" s="130" t="s">
        <v>612</v>
      </c>
      <c r="F30" s="131" t="s">
        <v>613</v>
      </c>
      <c r="G30" s="132">
        <v>96860569005</v>
      </c>
      <c r="H30" s="74"/>
      <c r="I30" s="74"/>
      <c r="J30" s="113">
        <v>70</v>
      </c>
      <c r="K30" s="100">
        <f t="shared" si="0"/>
        <v>87.5</v>
      </c>
      <c r="L30" s="95"/>
      <c r="M30" s="95">
        <f t="shared" ref="M30:M51" si="3">SUM(N30:S30)</f>
        <v>17.5</v>
      </c>
      <c r="N30" s="64">
        <f t="shared" si="1"/>
        <v>0</v>
      </c>
      <c r="O30" s="64"/>
      <c r="P30" s="95">
        <f>+I30*0.13</f>
        <v>0</v>
      </c>
      <c r="Q30" s="64"/>
      <c r="R30" s="95">
        <f t="shared" si="2"/>
        <v>17.5</v>
      </c>
      <c r="S30" s="64"/>
      <c r="T30" s="101"/>
    </row>
    <row r="31" spans="1:20" x14ac:dyDescent="0.2">
      <c r="A31" s="189">
        <v>87</v>
      </c>
      <c r="B31" s="97">
        <v>68</v>
      </c>
      <c r="C31" s="107" t="s">
        <v>621</v>
      </c>
      <c r="D31" s="39">
        <v>45208</v>
      </c>
      <c r="E31" s="2" t="s">
        <v>608</v>
      </c>
      <c r="F31" s="98" t="s">
        <v>609</v>
      </c>
      <c r="G31" s="99">
        <v>43965974818</v>
      </c>
      <c r="H31" s="74"/>
      <c r="I31" s="74">
        <v>3.07</v>
      </c>
      <c r="J31" s="113"/>
      <c r="K31" s="100">
        <f t="shared" si="0"/>
        <v>3.4691000000000001</v>
      </c>
      <c r="L31" s="95"/>
      <c r="M31" s="95">
        <f t="shared" si="3"/>
        <v>0.39910000000000001</v>
      </c>
      <c r="N31" s="64">
        <f t="shared" si="1"/>
        <v>0</v>
      </c>
      <c r="O31" s="64"/>
      <c r="P31" s="95">
        <f>I31*0.13</f>
        <v>0.39910000000000001</v>
      </c>
      <c r="Q31" s="64"/>
      <c r="R31" s="95">
        <f t="shared" si="2"/>
        <v>0</v>
      </c>
      <c r="S31" s="64"/>
      <c r="T31" s="101"/>
    </row>
    <row r="32" spans="1:20" x14ac:dyDescent="0.2">
      <c r="A32" s="190">
        <v>88</v>
      </c>
      <c r="B32" s="97">
        <v>69</v>
      </c>
      <c r="C32" s="107" t="s">
        <v>622</v>
      </c>
      <c r="D32" s="39">
        <v>45208</v>
      </c>
      <c r="E32" s="2" t="s">
        <v>608</v>
      </c>
      <c r="F32" s="98" t="s">
        <v>609</v>
      </c>
      <c r="G32" s="99">
        <v>43965974818</v>
      </c>
      <c r="H32" s="126"/>
      <c r="I32" s="126">
        <v>9.5500000000000007</v>
      </c>
      <c r="J32" s="127"/>
      <c r="K32" s="100">
        <f t="shared" si="0"/>
        <v>10.791500000000001</v>
      </c>
      <c r="L32" s="128"/>
      <c r="M32" s="128">
        <f>SUM(N32:S32)</f>
        <v>1.2415</v>
      </c>
      <c r="N32" s="64">
        <f t="shared" si="1"/>
        <v>0</v>
      </c>
      <c r="O32" s="129"/>
      <c r="P32" s="128">
        <f>+I32*0.13</f>
        <v>1.2415</v>
      </c>
      <c r="Q32" s="129"/>
      <c r="R32" s="128">
        <f t="shared" si="2"/>
        <v>0</v>
      </c>
      <c r="S32" s="129"/>
      <c r="T32" s="101"/>
    </row>
    <row r="33" spans="1:20" x14ac:dyDescent="0.2">
      <c r="A33" s="189">
        <v>89</v>
      </c>
      <c r="B33" s="97">
        <v>70</v>
      </c>
      <c r="C33" s="107" t="s">
        <v>623</v>
      </c>
      <c r="D33" s="39">
        <v>45208</v>
      </c>
      <c r="E33" s="2" t="s">
        <v>608</v>
      </c>
      <c r="F33" s="98" t="s">
        <v>609</v>
      </c>
      <c r="G33" s="99">
        <v>43965974818</v>
      </c>
      <c r="H33" s="74"/>
      <c r="I33" s="74">
        <v>8.7899999999999991</v>
      </c>
      <c r="J33" s="113"/>
      <c r="K33" s="100">
        <f>H33+I33+J33+M33</f>
        <v>9.9326999999999988</v>
      </c>
      <c r="L33" s="95"/>
      <c r="M33" s="95">
        <f>SUM(N33:S33)</f>
        <v>1.1426999999999998</v>
      </c>
      <c r="N33" s="64">
        <f t="shared" si="1"/>
        <v>0</v>
      </c>
      <c r="O33" s="64"/>
      <c r="P33" s="95">
        <f>+I33*0.13</f>
        <v>1.1426999999999998</v>
      </c>
      <c r="Q33" s="64"/>
      <c r="R33" s="95">
        <f t="shared" si="2"/>
        <v>0</v>
      </c>
      <c r="S33" s="64"/>
      <c r="T33" s="101"/>
    </row>
    <row r="34" spans="1:20" x14ac:dyDescent="0.2">
      <c r="A34" s="190">
        <v>90</v>
      </c>
      <c r="B34" s="97">
        <v>71</v>
      </c>
      <c r="C34" s="135">
        <v>2203282605</v>
      </c>
      <c r="D34" s="39">
        <v>45208</v>
      </c>
      <c r="E34" s="2" t="s">
        <v>608</v>
      </c>
      <c r="F34" s="98" t="s">
        <v>609</v>
      </c>
      <c r="G34" s="99">
        <v>43965974818</v>
      </c>
      <c r="H34" s="74"/>
      <c r="I34" s="74">
        <v>4.37</v>
      </c>
      <c r="J34" s="113"/>
      <c r="K34" s="100">
        <f t="shared" si="0"/>
        <v>4.9381000000000004</v>
      </c>
      <c r="L34" s="95"/>
      <c r="M34" s="95">
        <f t="shared" si="3"/>
        <v>0.56810000000000005</v>
      </c>
      <c r="N34" s="64">
        <f t="shared" si="1"/>
        <v>0</v>
      </c>
      <c r="O34" s="64"/>
      <c r="P34" s="95">
        <f>+I34*0.13</f>
        <v>0.56810000000000005</v>
      </c>
      <c r="Q34" s="64"/>
      <c r="R34" s="95">
        <f t="shared" si="2"/>
        <v>0</v>
      </c>
      <c r="S34" s="64"/>
      <c r="T34" s="101"/>
    </row>
    <row r="35" spans="1:20" x14ac:dyDescent="0.2">
      <c r="A35" s="189">
        <v>91</v>
      </c>
      <c r="B35" s="97">
        <v>72</v>
      </c>
      <c r="C35" s="107" t="s">
        <v>624</v>
      </c>
      <c r="D35" s="39">
        <v>45222</v>
      </c>
      <c r="E35" s="2" t="s">
        <v>625</v>
      </c>
      <c r="F35" s="98" t="s">
        <v>626</v>
      </c>
      <c r="G35" s="99">
        <v>22694857747</v>
      </c>
      <c r="H35" s="74"/>
      <c r="I35" s="74">
        <v>0</v>
      </c>
      <c r="J35" s="113"/>
      <c r="K35" s="100">
        <v>1039.53</v>
      </c>
      <c r="L35" s="95"/>
      <c r="M35" s="95">
        <f t="shared" si="3"/>
        <v>0</v>
      </c>
      <c r="N35" s="64">
        <f t="shared" si="1"/>
        <v>0</v>
      </c>
      <c r="O35" s="64"/>
      <c r="P35" s="95">
        <f>+I35*0.13</f>
        <v>0</v>
      </c>
      <c r="Q35" s="64"/>
      <c r="R35" s="95">
        <f t="shared" ref="R35:R51" si="4">J35*0.25</f>
        <v>0</v>
      </c>
      <c r="S35" s="64"/>
      <c r="T35" s="101"/>
    </row>
    <row r="36" spans="1:20" x14ac:dyDescent="0.2">
      <c r="A36" s="190">
        <v>92</v>
      </c>
      <c r="B36" s="97">
        <v>73</v>
      </c>
      <c r="C36" s="107" t="s">
        <v>627</v>
      </c>
      <c r="D36" s="39">
        <v>45230</v>
      </c>
      <c r="E36" s="2" t="s">
        <v>589</v>
      </c>
      <c r="F36" s="2" t="s">
        <v>594</v>
      </c>
      <c r="G36" s="99">
        <v>26618043061</v>
      </c>
      <c r="H36" s="74"/>
      <c r="I36" s="74"/>
      <c r="J36" s="113">
        <v>305</v>
      </c>
      <c r="K36" s="100">
        <f t="shared" si="0"/>
        <v>381.25</v>
      </c>
      <c r="L36" s="95"/>
      <c r="M36" s="95">
        <f t="shared" si="3"/>
        <v>76.25</v>
      </c>
      <c r="N36" s="64">
        <f t="shared" si="1"/>
        <v>0</v>
      </c>
      <c r="O36" s="64"/>
      <c r="P36" s="95">
        <f t="shared" ref="P36:P51" si="5">+I36*0.13</f>
        <v>0</v>
      </c>
      <c r="Q36" s="64"/>
      <c r="R36" s="95">
        <f t="shared" si="4"/>
        <v>76.25</v>
      </c>
      <c r="S36" s="64"/>
      <c r="T36" s="101"/>
    </row>
    <row r="37" spans="1:20" x14ac:dyDescent="0.2">
      <c r="A37" s="189">
        <v>93</v>
      </c>
      <c r="B37" s="97">
        <v>74</v>
      </c>
      <c r="C37" s="107" t="s">
        <v>628</v>
      </c>
      <c r="D37" s="39">
        <v>45230</v>
      </c>
      <c r="E37" s="145" t="s">
        <v>588</v>
      </c>
      <c r="F37" s="146" t="s">
        <v>595</v>
      </c>
      <c r="G37" s="147">
        <v>77465071491</v>
      </c>
      <c r="H37" s="74"/>
      <c r="I37" s="74">
        <v>15.93</v>
      </c>
      <c r="J37" s="113"/>
      <c r="K37" s="100">
        <f>H37+I37+J37+M37</f>
        <v>18.000900000000001</v>
      </c>
      <c r="L37" s="95"/>
      <c r="M37" s="95">
        <f>SUM(N37:S37)</f>
        <v>2.0709</v>
      </c>
      <c r="N37" s="64">
        <f t="shared" si="1"/>
        <v>0</v>
      </c>
      <c r="O37" s="64"/>
      <c r="P37" s="95">
        <f>+I37*0.13</f>
        <v>2.0709</v>
      </c>
      <c r="Q37" s="64"/>
      <c r="R37" s="95">
        <f>J37*0.25</f>
        <v>0</v>
      </c>
      <c r="S37" s="64"/>
      <c r="T37" s="101"/>
    </row>
    <row r="38" spans="1:20" x14ac:dyDescent="0.2">
      <c r="A38" s="190">
        <v>94</v>
      </c>
      <c r="B38" s="97">
        <v>75</v>
      </c>
      <c r="C38" s="107" t="s">
        <v>629</v>
      </c>
      <c r="D38" s="39">
        <v>45230</v>
      </c>
      <c r="E38" s="2" t="s">
        <v>587</v>
      </c>
      <c r="F38" s="98" t="s">
        <v>607</v>
      </c>
      <c r="G38" s="99">
        <v>51260824290</v>
      </c>
      <c r="H38" s="74"/>
      <c r="I38" s="74">
        <v>3.32</v>
      </c>
      <c r="J38" s="113">
        <v>0</v>
      </c>
      <c r="K38" s="100">
        <f t="shared" si="0"/>
        <v>3.7515999999999998</v>
      </c>
      <c r="L38" s="95"/>
      <c r="M38" s="95">
        <f>SUM(N38:S38)</f>
        <v>0.43159999999999998</v>
      </c>
      <c r="N38" s="64">
        <f t="shared" si="1"/>
        <v>0</v>
      </c>
      <c r="O38" s="64"/>
      <c r="P38" s="95">
        <f t="shared" si="5"/>
        <v>0.43159999999999998</v>
      </c>
      <c r="Q38" s="64"/>
      <c r="R38" s="95">
        <f t="shared" si="4"/>
        <v>0</v>
      </c>
      <c r="S38" s="64"/>
      <c r="T38" s="101"/>
    </row>
    <row r="39" spans="1:20" x14ac:dyDescent="0.2">
      <c r="A39" s="189">
        <v>95</v>
      </c>
      <c r="B39" s="97">
        <v>76</v>
      </c>
      <c r="C39" s="107" t="s">
        <v>628</v>
      </c>
      <c r="D39" s="39">
        <v>45230</v>
      </c>
      <c r="E39" s="2" t="s">
        <v>587</v>
      </c>
      <c r="F39" s="98" t="s">
        <v>607</v>
      </c>
      <c r="G39" s="99">
        <v>51260824290</v>
      </c>
      <c r="H39" s="74"/>
      <c r="I39" s="74">
        <v>3.32</v>
      </c>
      <c r="J39" s="113"/>
      <c r="K39" s="100">
        <f t="shared" si="0"/>
        <v>3.7515999999999998</v>
      </c>
      <c r="L39" s="95"/>
      <c r="M39" s="95">
        <f t="shared" si="3"/>
        <v>0.43159999999999998</v>
      </c>
      <c r="N39" s="64">
        <f t="shared" si="1"/>
        <v>0</v>
      </c>
      <c r="O39" s="64"/>
      <c r="P39" s="95">
        <f t="shared" si="5"/>
        <v>0.43159999999999998</v>
      </c>
      <c r="Q39" s="64"/>
      <c r="R39" s="95">
        <f t="shared" si="4"/>
        <v>0</v>
      </c>
      <c r="S39" s="64"/>
      <c r="T39" s="101"/>
    </row>
    <row r="40" spans="1:20" x14ac:dyDescent="0.2">
      <c r="A40" s="190">
        <v>96</v>
      </c>
      <c r="B40" s="97">
        <v>77</v>
      </c>
      <c r="C40" s="107" t="s">
        <v>630</v>
      </c>
      <c r="D40" s="39">
        <v>45230</v>
      </c>
      <c r="E40" s="2" t="s">
        <v>587</v>
      </c>
      <c r="F40" s="98" t="s">
        <v>607</v>
      </c>
      <c r="G40" s="99">
        <v>51260824290</v>
      </c>
      <c r="H40" s="74"/>
      <c r="I40" s="74">
        <v>3.32</v>
      </c>
      <c r="J40" s="113"/>
      <c r="K40" s="100">
        <f t="shared" si="0"/>
        <v>3.7515999999999998</v>
      </c>
      <c r="L40" s="95"/>
      <c r="M40" s="95">
        <f t="shared" si="3"/>
        <v>0.43159999999999998</v>
      </c>
      <c r="N40" s="64">
        <f t="shared" si="1"/>
        <v>0</v>
      </c>
      <c r="O40" s="64"/>
      <c r="P40" s="95">
        <f t="shared" si="5"/>
        <v>0.43159999999999998</v>
      </c>
      <c r="Q40" s="64"/>
      <c r="R40" s="95">
        <f t="shared" si="4"/>
        <v>0</v>
      </c>
      <c r="S40" s="64"/>
      <c r="T40" s="101"/>
    </row>
    <row r="41" spans="1:20" ht="13.5" thickBot="1" x14ac:dyDescent="0.25">
      <c r="A41" s="189">
        <v>97</v>
      </c>
      <c r="B41" s="138">
        <v>78</v>
      </c>
      <c r="C41" s="148" t="s">
        <v>631</v>
      </c>
      <c r="D41" s="149">
        <v>45230</v>
      </c>
      <c r="E41" s="145" t="s">
        <v>632</v>
      </c>
      <c r="F41" s="146" t="s">
        <v>633</v>
      </c>
      <c r="G41" s="147">
        <v>81793146560</v>
      </c>
      <c r="H41" s="74"/>
      <c r="I41" s="74"/>
      <c r="J41" s="113">
        <v>26.64</v>
      </c>
      <c r="K41" s="100">
        <f>H41+I41+J41+M41</f>
        <v>33.299999999999997</v>
      </c>
      <c r="L41" s="95"/>
      <c r="M41" s="95">
        <f>SUM(N41:S41)</f>
        <v>6.66</v>
      </c>
      <c r="N41" s="64">
        <f t="shared" si="1"/>
        <v>0</v>
      </c>
      <c r="O41" s="64"/>
      <c r="P41" s="95">
        <f>+I41*0.13</f>
        <v>0</v>
      </c>
      <c r="Q41" s="64"/>
      <c r="R41" s="95">
        <f>J41*0.25</f>
        <v>6.66</v>
      </c>
      <c r="S41" s="64"/>
      <c r="T41" s="101"/>
    </row>
    <row r="42" spans="1:20" x14ac:dyDescent="0.2">
      <c r="A42" s="188">
        <v>98</v>
      </c>
      <c r="B42" s="142">
        <v>79</v>
      </c>
      <c r="C42" s="143" t="s">
        <v>623</v>
      </c>
      <c r="D42" s="150">
        <v>45238</v>
      </c>
      <c r="E42" s="151" t="s">
        <v>608</v>
      </c>
      <c r="F42" s="152" t="s">
        <v>609</v>
      </c>
      <c r="G42" s="153">
        <v>43965974818</v>
      </c>
      <c r="H42" s="74"/>
      <c r="I42" s="74">
        <v>2.52</v>
      </c>
      <c r="J42" s="113"/>
      <c r="K42" s="100">
        <f>H42+I42+J42+M42</f>
        <v>2.8475999999999999</v>
      </c>
      <c r="L42" s="95"/>
      <c r="M42" s="95">
        <f>SUM(N42:S42)</f>
        <v>0.3276</v>
      </c>
      <c r="N42" s="64">
        <f t="shared" si="1"/>
        <v>0</v>
      </c>
      <c r="O42" s="64"/>
      <c r="P42" s="95">
        <f>+I42*0.13</f>
        <v>0.3276</v>
      </c>
      <c r="Q42" s="64"/>
      <c r="R42" s="95">
        <f>J42*0.25</f>
        <v>0</v>
      </c>
      <c r="S42" s="64"/>
      <c r="T42" s="101"/>
    </row>
    <row r="43" spans="1:20" x14ac:dyDescent="0.2">
      <c r="A43" s="189">
        <v>99</v>
      </c>
      <c r="B43" s="97">
        <v>80</v>
      </c>
      <c r="C43" s="107" t="s">
        <v>634</v>
      </c>
      <c r="D43" s="39">
        <v>45238</v>
      </c>
      <c r="E43" s="2" t="s">
        <v>608</v>
      </c>
      <c r="F43" s="98" t="s">
        <v>609</v>
      </c>
      <c r="G43" s="99">
        <v>43965974818</v>
      </c>
      <c r="H43" s="74"/>
      <c r="I43" s="74">
        <v>4.3600000000000003</v>
      </c>
      <c r="J43" s="113"/>
      <c r="K43" s="100">
        <f t="shared" si="0"/>
        <v>4.9268000000000001</v>
      </c>
      <c r="L43" s="95"/>
      <c r="M43" s="95">
        <f t="shared" si="3"/>
        <v>0.56680000000000008</v>
      </c>
      <c r="N43" s="64">
        <f t="shared" si="1"/>
        <v>0</v>
      </c>
      <c r="O43" s="64"/>
      <c r="P43" s="95">
        <f t="shared" si="5"/>
        <v>0.56680000000000008</v>
      </c>
      <c r="Q43" s="64"/>
      <c r="R43" s="95">
        <f t="shared" si="4"/>
        <v>0</v>
      </c>
      <c r="S43" s="64"/>
      <c r="T43" s="101"/>
    </row>
    <row r="44" spans="1:20" x14ac:dyDescent="0.2">
      <c r="A44" s="190">
        <v>100</v>
      </c>
      <c r="B44" s="97">
        <v>81</v>
      </c>
      <c r="C44" s="107" t="s">
        <v>622</v>
      </c>
      <c r="D44" s="39">
        <v>45238</v>
      </c>
      <c r="E44" s="2" t="s">
        <v>608</v>
      </c>
      <c r="F44" s="98" t="s">
        <v>609</v>
      </c>
      <c r="G44" s="99">
        <v>43965974818</v>
      </c>
      <c r="H44" s="74"/>
      <c r="I44" s="74">
        <v>3.03</v>
      </c>
      <c r="J44" s="113"/>
      <c r="K44" s="100">
        <f t="shared" si="0"/>
        <v>3.4238999999999997</v>
      </c>
      <c r="L44" s="95"/>
      <c r="M44" s="95">
        <f t="shared" si="3"/>
        <v>0.39389999999999997</v>
      </c>
      <c r="N44" s="64">
        <f t="shared" si="1"/>
        <v>0</v>
      </c>
      <c r="O44" s="64"/>
      <c r="P44" s="95">
        <f t="shared" si="5"/>
        <v>0.39389999999999997</v>
      </c>
      <c r="Q44" s="64"/>
      <c r="R44" s="95">
        <f t="shared" si="4"/>
        <v>0</v>
      </c>
      <c r="S44" s="64"/>
      <c r="T44" s="101"/>
    </row>
    <row r="45" spans="1:20" x14ac:dyDescent="0.2">
      <c r="A45" s="189">
        <v>101</v>
      </c>
      <c r="B45" s="97">
        <v>82</v>
      </c>
      <c r="C45" s="107" t="s">
        <v>621</v>
      </c>
      <c r="D45" s="39">
        <v>45238</v>
      </c>
      <c r="E45" s="2" t="s">
        <v>608</v>
      </c>
      <c r="F45" s="98" t="s">
        <v>609</v>
      </c>
      <c r="G45" s="99">
        <v>43965974818</v>
      </c>
      <c r="H45" s="74"/>
      <c r="I45" s="74">
        <v>2.52</v>
      </c>
      <c r="J45" s="113"/>
      <c r="K45" s="100">
        <f t="shared" si="0"/>
        <v>2.8475999999999999</v>
      </c>
      <c r="L45" s="95"/>
      <c r="M45" s="95">
        <f t="shared" si="3"/>
        <v>0.3276</v>
      </c>
      <c r="N45" s="64">
        <f t="shared" si="1"/>
        <v>0</v>
      </c>
      <c r="O45" s="64"/>
      <c r="P45" s="95">
        <f t="shared" si="5"/>
        <v>0.3276</v>
      </c>
      <c r="Q45" s="64"/>
      <c r="R45" s="95">
        <f t="shared" si="4"/>
        <v>0</v>
      </c>
      <c r="S45" s="64"/>
      <c r="T45" s="101"/>
    </row>
    <row r="46" spans="1:20" x14ac:dyDescent="0.2">
      <c r="A46" s="190">
        <v>102</v>
      </c>
      <c r="B46" s="97">
        <v>83</v>
      </c>
      <c r="C46" s="107" t="s">
        <v>635</v>
      </c>
      <c r="D46" s="39">
        <v>45260</v>
      </c>
      <c r="E46" s="2" t="s">
        <v>589</v>
      </c>
      <c r="F46" s="2" t="s">
        <v>594</v>
      </c>
      <c r="G46" s="99">
        <v>26618043061</v>
      </c>
      <c r="H46" s="74"/>
      <c r="I46" s="74"/>
      <c r="J46" s="113">
        <v>50</v>
      </c>
      <c r="K46" s="100">
        <f>H46+I46+J46+M46</f>
        <v>62.5</v>
      </c>
      <c r="L46" s="95"/>
      <c r="M46" s="95">
        <f>SUM(N46:S46)</f>
        <v>12.5</v>
      </c>
      <c r="N46" s="64">
        <f t="shared" si="1"/>
        <v>0</v>
      </c>
      <c r="O46" s="64"/>
      <c r="P46" s="95">
        <f>+I46*0.13</f>
        <v>0</v>
      </c>
      <c r="Q46" s="64"/>
      <c r="R46" s="95">
        <f>J46*0.25</f>
        <v>12.5</v>
      </c>
      <c r="S46" s="64"/>
      <c r="T46" s="101"/>
    </row>
    <row r="47" spans="1:20" x14ac:dyDescent="0.2">
      <c r="A47" s="189">
        <v>103</v>
      </c>
      <c r="B47" s="97">
        <v>84</v>
      </c>
      <c r="C47" s="107" t="s">
        <v>636</v>
      </c>
      <c r="D47" s="39">
        <v>45260</v>
      </c>
      <c r="E47" s="145" t="s">
        <v>588</v>
      </c>
      <c r="F47" s="146" t="s">
        <v>595</v>
      </c>
      <c r="G47" s="147">
        <v>77465071491</v>
      </c>
      <c r="H47" s="74"/>
      <c r="I47" s="74">
        <v>15.93</v>
      </c>
      <c r="J47" s="113"/>
      <c r="K47" s="100">
        <f t="shared" si="0"/>
        <v>18.000900000000001</v>
      </c>
      <c r="L47" s="95"/>
      <c r="M47" s="95">
        <f t="shared" si="3"/>
        <v>2.0709</v>
      </c>
      <c r="N47" s="64">
        <f t="shared" si="1"/>
        <v>0</v>
      </c>
      <c r="O47" s="64"/>
      <c r="P47" s="95">
        <f t="shared" si="5"/>
        <v>2.0709</v>
      </c>
      <c r="Q47" s="64"/>
      <c r="R47" s="95">
        <f t="shared" si="4"/>
        <v>0</v>
      </c>
      <c r="S47" s="64"/>
      <c r="T47" s="101"/>
    </row>
    <row r="48" spans="1:20" x14ac:dyDescent="0.2">
      <c r="A48" s="190">
        <v>104</v>
      </c>
      <c r="B48" s="97">
        <v>85</v>
      </c>
      <c r="C48" s="107" t="s">
        <v>636</v>
      </c>
      <c r="D48" s="39">
        <v>45260</v>
      </c>
      <c r="E48" s="2" t="s">
        <v>587</v>
      </c>
      <c r="F48" s="98" t="s">
        <v>607</v>
      </c>
      <c r="G48" s="99">
        <v>51260824290</v>
      </c>
      <c r="H48" s="74">
        <v>0</v>
      </c>
      <c r="I48" s="74">
        <v>3.32</v>
      </c>
      <c r="J48" s="113"/>
      <c r="K48" s="100">
        <f t="shared" si="0"/>
        <v>3.7515999999999998</v>
      </c>
      <c r="L48" s="95"/>
      <c r="M48" s="95">
        <f t="shared" si="3"/>
        <v>0.43159999999999998</v>
      </c>
      <c r="N48" s="64">
        <f t="shared" si="1"/>
        <v>0</v>
      </c>
      <c r="O48" s="64"/>
      <c r="P48" s="95">
        <f t="shared" si="5"/>
        <v>0.43159999999999998</v>
      </c>
      <c r="Q48" s="64"/>
      <c r="R48" s="95">
        <f t="shared" si="4"/>
        <v>0</v>
      </c>
      <c r="S48" s="64"/>
      <c r="T48" s="101"/>
    </row>
    <row r="49" spans="1:20" x14ac:dyDescent="0.2">
      <c r="A49" s="189">
        <v>105</v>
      </c>
      <c r="B49" s="97">
        <v>86</v>
      </c>
      <c r="C49" s="107" t="s">
        <v>637</v>
      </c>
      <c r="D49" s="39">
        <v>45260</v>
      </c>
      <c r="E49" s="2" t="s">
        <v>587</v>
      </c>
      <c r="F49" s="98" t="s">
        <v>607</v>
      </c>
      <c r="G49" s="99">
        <v>51260824290</v>
      </c>
      <c r="H49" s="74"/>
      <c r="I49" s="74">
        <v>3.32</v>
      </c>
      <c r="J49" s="113">
        <v>0</v>
      </c>
      <c r="K49" s="100">
        <f t="shared" si="0"/>
        <v>3.7515999999999998</v>
      </c>
      <c r="L49" s="95"/>
      <c r="M49" s="95">
        <f t="shared" si="3"/>
        <v>0.43159999999999998</v>
      </c>
      <c r="N49" s="64">
        <f t="shared" si="1"/>
        <v>0</v>
      </c>
      <c r="O49" s="64"/>
      <c r="P49" s="95">
        <f t="shared" si="5"/>
        <v>0.43159999999999998</v>
      </c>
      <c r="Q49" s="64"/>
      <c r="R49" s="95">
        <f t="shared" si="4"/>
        <v>0</v>
      </c>
      <c r="S49" s="64"/>
      <c r="T49" s="101"/>
    </row>
    <row r="50" spans="1:20" ht="13.5" thickBot="1" x14ac:dyDescent="0.25">
      <c r="A50" s="190">
        <v>106</v>
      </c>
      <c r="B50" s="138">
        <v>87</v>
      </c>
      <c r="C50" s="148" t="s">
        <v>638</v>
      </c>
      <c r="D50" s="149">
        <v>45260</v>
      </c>
      <c r="E50" s="2" t="s">
        <v>587</v>
      </c>
      <c r="F50" s="98" t="s">
        <v>607</v>
      </c>
      <c r="G50" s="99">
        <v>51260824290</v>
      </c>
      <c r="H50" s="74"/>
      <c r="I50" s="74">
        <v>3.32</v>
      </c>
      <c r="J50" s="113">
        <v>0</v>
      </c>
      <c r="K50" s="100">
        <f>H50+I50+J50+M50</f>
        <v>3.7515999999999998</v>
      </c>
      <c r="L50" s="95"/>
      <c r="M50" s="95">
        <f>SUM(N50:S50)</f>
        <v>0.43159999999999998</v>
      </c>
      <c r="N50" s="64">
        <f t="shared" si="1"/>
        <v>0</v>
      </c>
      <c r="O50" s="64"/>
      <c r="P50" s="95">
        <f>+I50*0.13</f>
        <v>0.43159999999999998</v>
      </c>
      <c r="Q50" s="64"/>
      <c r="R50" s="95">
        <f>J50*0.25</f>
        <v>0</v>
      </c>
      <c r="S50" s="64"/>
      <c r="T50" s="101"/>
    </row>
    <row r="51" spans="1:20" x14ac:dyDescent="0.2">
      <c r="A51" s="188">
        <v>107</v>
      </c>
      <c r="B51" s="142">
        <v>88</v>
      </c>
      <c r="C51" s="143" t="s">
        <v>622</v>
      </c>
      <c r="D51" s="150">
        <v>45266</v>
      </c>
      <c r="E51" s="151" t="s">
        <v>608</v>
      </c>
      <c r="F51" s="152" t="s">
        <v>609</v>
      </c>
      <c r="G51" s="153">
        <v>43965974818</v>
      </c>
      <c r="H51" s="74"/>
      <c r="I51" s="74">
        <v>2.52</v>
      </c>
      <c r="J51" s="113"/>
      <c r="K51" s="100">
        <f t="shared" si="0"/>
        <v>2.8475999999999999</v>
      </c>
      <c r="L51" s="95"/>
      <c r="M51" s="95">
        <f t="shared" si="3"/>
        <v>0.3276</v>
      </c>
      <c r="N51" s="64">
        <f t="shared" si="1"/>
        <v>0</v>
      </c>
      <c r="O51" s="64"/>
      <c r="P51" s="95">
        <f t="shared" si="5"/>
        <v>0.3276</v>
      </c>
      <c r="Q51" s="64"/>
      <c r="R51" s="95">
        <f t="shared" si="4"/>
        <v>0</v>
      </c>
      <c r="S51" s="64"/>
      <c r="T51" s="101"/>
    </row>
    <row r="52" spans="1:20" x14ac:dyDescent="0.2">
      <c r="A52" s="190">
        <v>108</v>
      </c>
      <c r="B52" s="97">
        <v>89</v>
      </c>
      <c r="C52" s="107" t="s">
        <v>621</v>
      </c>
      <c r="D52" s="39">
        <v>45266</v>
      </c>
      <c r="E52" s="2" t="s">
        <v>608</v>
      </c>
      <c r="F52" s="98" t="s">
        <v>609</v>
      </c>
      <c r="G52" s="99">
        <v>43965974818</v>
      </c>
      <c r="H52" s="74"/>
      <c r="I52" s="74">
        <v>2.52</v>
      </c>
      <c r="J52" s="113"/>
      <c r="K52" s="100">
        <f t="shared" ref="K52:K60" si="6">H52+I52+J52+M52</f>
        <v>2.8475999999999999</v>
      </c>
      <c r="L52" s="95"/>
      <c r="M52" s="95">
        <f t="shared" ref="M52:M60" si="7">SUM(N52:S52)</f>
        <v>0.3276</v>
      </c>
      <c r="N52" s="64">
        <f t="shared" si="1"/>
        <v>0</v>
      </c>
      <c r="O52" s="64"/>
      <c r="P52" s="95">
        <f t="shared" ref="P52:P60" si="8">+I52*0.13</f>
        <v>0.3276</v>
      </c>
      <c r="Q52" s="64"/>
      <c r="R52" s="95">
        <f t="shared" ref="R52:R60" si="9">J52*0.25</f>
        <v>0</v>
      </c>
      <c r="S52" s="64"/>
      <c r="T52" s="101"/>
    </row>
    <row r="53" spans="1:20" x14ac:dyDescent="0.2">
      <c r="A53" s="189">
        <v>109</v>
      </c>
      <c r="B53" s="97">
        <v>90</v>
      </c>
      <c r="C53" s="107" t="s">
        <v>623</v>
      </c>
      <c r="D53" s="39">
        <v>45266</v>
      </c>
      <c r="E53" s="2" t="s">
        <v>608</v>
      </c>
      <c r="F53" s="98" t="s">
        <v>609</v>
      </c>
      <c r="G53" s="99">
        <v>43965974818</v>
      </c>
      <c r="H53" s="74"/>
      <c r="I53" s="74">
        <v>2.52</v>
      </c>
      <c r="J53" s="113"/>
      <c r="K53" s="100">
        <f t="shared" si="6"/>
        <v>2.8475999999999999</v>
      </c>
      <c r="L53" s="95"/>
      <c r="M53" s="95">
        <f t="shared" si="7"/>
        <v>0.3276</v>
      </c>
      <c r="N53" s="64">
        <f t="shared" si="1"/>
        <v>0</v>
      </c>
      <c r="O53" s="64"/>
      <c r="P53" s="95">
        <f t="shared" si="8"/>
        <v>0.3276</v>
      </c>
      <c r="Q53" s="64"/>
      <c r="R53" s="95">
        <f t="shared" si="9"/>
        <v>0</v>
      </c>
      <c r="S53" s="64"/>
      <c r="T53" s="101"/>
    </row>
    <row r="54" spans="1:20" x14ac:dyDescent="0.2">
      <c r="A54" s="190">
        <v>110</v>
      </c>
      <c r="B54" s="97">
        <v>91</v>
      </c>
      <c r="C54" s="107" t="s">
        <v>634</v>
      </c>
      <c r="D54" s="39">
        <v>45266</v>
      </c>
      <c r="E54" s="2" t="s">
        <v>608</v>
      </c>
      <c r="F54" s="98" t="s">
        <v>609</v>
      </c>
      <c r="G54" s="99">
        <v>43965974818</v>
      </c>
      <c r="H54" s="74"/>
      <c r="I54" s="74">
        <v>3.07</v>
      </c>
      <c r="J54" s="113"/>
      <c r="K54" s="100">
        <f t="shared" si="6"/>
        <v>3.4691000000000001</v>
      </c>
      <c r="L54" s="95"/>
      <c r="M54" s="95">
        <f t="shared" si="7"/>
        <v>0.39910000000000001</v>
      </c>
      <c r="N54" s="64">
        <f t="shared" si="1"/>
        <v>0</v>
      </c>
      <c r="O54" s="64"/>
      <c r="P54" s="95">
        <f t="shared" si="8"/>
        <v>0.39910000000000001</v>
      </c>
      <c r="Q54" s="64"/>
      <c r="R54" s="95">
        <f t="shared" si="9"/>
        <v>0</v>
      </c>
      <c r="S54" s="64"/>
      <c r="T54" s="101"/>
    </row>
    <row r="55" spans="1:20" x14ac:dyDescent="0.2">
      <c r="A55" s="189">
        <v>111</v>
      </c>
      <c r="B55" s="97">
        <v>92</v>
      </c>
      <c r="C55" s="107" t="s">
        <v>639</v>
      </c>
      <c r="D55" s="39">
        <v>45291</v>
      </c>
      <c r="E55" s="145" t="s">
        <v>588</v>
      </c>
      <c r="F55" s="146" t="s">
        <v>595</v>
      </c>
      <c r="G55" s="147">
        <v>77465071491</v>
      </c>
      <c r="H55" s="74"/>
      <c r="I55" s="74">
        <v>15.93</v>
      </c>
      <c r="J55" s="113"/>
      <c r="K55" s="100">
        <f t="shared" si="6"/>
        <v>18.000900000000001</v>
      </c>
      <c r="L55" s="95"/>
      <c r="M55" s="95">
        <f t="shared" si="7"/>
        <v>2.0709</v>
      </c>
      <c r="N55" s="64">
        <f t="shared" si="1"/>
        <v>0</v>
      </c>
      <c r="O55" s="64"/>
      <c r="P55" s="95">
        <f t="shared" si="8"/>
        <v>2.0709</v>
      </c>
      <c r="Q55" s="64"/>
      <c r="R55" s="95">
        <f t="shared" si="9"/>
        <v>0</v>
      </c>
      <c r="S55" s="64"/>
      <c r="T55" s="101"/>
    </row>
    <row r="56" spans="1:20" x14ac:dyDescent="0.2">
      <c r="A56" s="190">
        <v>112</v>
      </c>
      <c r="B56" s="97">
        <v>93</v>
      </c>
      <c r="C56" s="107" t="s">
        <v>640</v>
      </c>
      <c r="D56" s="39">
        <v>45291</v>
      </c>
      <c r="E56" s="2" t="s">
        <v>587</v>
      </c>
      <c r="F56" s="98" t="s">
        <v>607</v>
      </c>
      <c r="G56" s="99">
        <v>51260824290</v>
      </c>
      <c r="H56" s="74"/>
      <c r="I56" s="74">
        <v>3.32</v>
      </c>
      <c r="J56" s="113"/>
      <c r="K56" s="100">
        <f t="shared" si="6"/>
        <v>3.7515999999999998</v>
      </c>
      <c r="L56" s="95"/>
      <c r="M56" s="95">
        <f t="shared" si="7"/>
        <v>0.43159999999999998</v>
      </c>
      <c r="N56" s="64">
        <f t="shared" si="1"/>
        <v>0</v>
      </c>
      <c r="O56" s="64"/>
      <c r="P56" s="95">
        <f t="shared" si="8"/>
        <v>0.43159999999999998</v>
      </c>
      <c r="Q56" s="64"/>
      <c r="R56" s="95">
        <f t="shared" si="9"/>
        <v>0</v>
      </c>
      <c r="S56" s="64"/>
      <c r="T56" s="101"/>
    </row>
    <row r="57" spans="1:20" x14ac:dyDescent="0.2">
      <c r="A57" s="189">
        <v>113</v>
      </c>
      <c r="B57" s="97">
        <v>94</v>
      </c>
      <c r="C57" s="107" t="s">
        <v>641</v>
      </c>
      <c r="D57" s="39">
        <v>45291</v>
      </c>
      <c r="E57" s="2" t="s">
        <v>587</v>
      </c>
      <c r="F57" s="98" t="s">
        <v>607</v>
      </c>
      <c r="G57" s="99">
        <v>51260824290</v>
      </c>
      <c r="H57" s="74"/>
      <c r="I57" s="74">
        <v>3.32</v>
      </c>
      <c r="J57" s="113"/>
      <c r="K57" s="100">
        <f t="shared" si="6"/>
        <v>3.7515999999999998</v>
      </c>
      <c r="L57" s="95"/>
      <c r="M57" s="95">
        <f t="shared" si="7"/>
        <v>0.43159999999999998</v>
      </c>
      <c r="N57" s="64">
        <f t="shared" si="1"/>
        <v>0</v>
      </c>
      <c r="O57" s="64"/>
      <c r="P57" s="95">
        <f t="shared" si="8"/>
        <v>0.43159999999999998</v>
      </c>
      <c r="Q57" s="64"/>
      <c r="R57" s="95">
        <f t="shared" si="9"/>
        <v>0</v>
      </c>
      <c r="S57" s="64"/>
      <c r="T57" s="101"/>
    </row>
    <row r="58" spans="1:20" x14ac:dyDescent="0.2">
      <c r="A58" s="189">
        <v>114</v>
      </c>
      <c r="B58" s="138">
        <v>95</v>
      </c>
      <c r="C58" s="148" t="s">
        <v>639</v>
      </c>
      <c r="D58" s="149">
        <v>45291</v>
      </c>
      <c r="E58" s="145" t="s">
        <v>587</v>
      </c>
      <c r="F58" s="146" t="s">
        <v>607</v>
      </c>
      <c r="G58" s="147">
        <v>51260824290</v>
      </c>
      <c r="H58" s="74"/>
      <c r="I58" s="74">
        <v>3.32</v>
      </c>
      <c r="J58" s="113"/>
      <c r="K58" s="100">
        <f t="shared" si="6"/>
        <v>3.7515999999999998</v>
      </c>
      <c r="L58" s="95"/>
      <c r="M58" s="95">
        <f t="shared" si="7"/>
        <v>0.43159999999999998</v>
      </c>
      <c r="N58" s="64">
        <f t="shared" si="1"/>
        <v>0</v>
      </c>
      <c r="O58" s="64"/>
      <c r="P58" s="95">
        <f t="shared" si="8"/>
        <v>0.43159999999999998</v>
      </c>
      <c r="Q58" s="64"/>
      <c r="R58" s="95">
        <f t="shared" si="9"/>
        <v>0</v>
      </c>
      <c r="S58" s="64"/>
      <c r="T58" s="101"/>
    </row>
    <row r="59" spans="1:20" ht="13.5" thickBot="1" x14ac:dyDescent="0.25">
      <c r="A59" s="191">
        <v>115</v>
      </c>
      <c r="B59" s="157">
        <v>96</v>
      </c>
      <c r="C59" s="158" t="s">
        <v>642</v>
      </c>
      <c r="D59" s="159">
        <v>45291</v>
      </c>
      <c r="E59" s="160" t="s">
        <v>589</v>
      </c>
      <c r="F59" s="160" t="s">
        <v>594</v>
      </c>
      <c r="G59" s="161">
        <v>26618043061</v>
      </c>
      <c r="H59" s="74"/>
      <c r="I59" s="74"/>
      <c r="J59" s="113">
        <v>50</v>
      </c>
      <c r="K59" s="100">
        <f t="shared" si="6"/>
        <v>62.5</v>
      </c>
      <c r="L59" s="95"/>
      <c r="M59" s="95">
        <f t="shared" si="7"/>
        <v>12.5</v>
      </c>
      <c r="N59" s="64">
        <f t="shared" si="1"/>
        <v>0</v>
      </c>
      <c r="O59" s="64"/>
      <c r="P59" s="95">
        <f t="shared" si="8"/>
        <v>0</v>
      </c>
      <c r="Q59" s="64"/>
      <c r="R59" s="95">
        <f t="shared" si="9"/>
        <v>12.5</v>
      </c>
      <c r="S59" s="64"/>
      <c r="T59" s="101"/>
    </row>
    <row r="60" spans="1:20" x14ac:dyDescent="0.2">
      <c r="A60" s="190"/>
      <c r="B60" s="144"/>
      <c r="C60" s="137"/>
      <c r="D60" s="141"/>
      <c r="E60" s="154"/>
      <c r="F60" s="155"/>
      <c r="G60" s="156"/>
      <c r="H60" s="74"/>
      <c r="I60" s="74"/>
      <c r="J60" s="113"/>
      <c r="K60" s="100">
        <f t="shared" si="6"/>
        <v>0</v>
      </c>
      <c r="L60" s="95"/>
      <c r="M60" s="95">
        <f t="shared" si="7"/>
        <v>0</v>
      </c>
      <c r="N60" s="64">
        <f t="shared" si="1"/>
        <v>0</v>
      </c>
      <c r="O60" s="64"/>
      <c r="P60" s="95">
        <f t="shared" si="8"/>
        <v>0</v>
      </c>
      <c r="Q60" s="64"/>
      <c r="R60" s="95">
        <f t="shared" si="9"/>
        <v>0</v>
      </c>
      <c r="S60" s="64"/>
      <c r="T60" s="101"/>
    </row>
    <row r="61" spans="1:20" x14ac:dyDescent="0.2">
      <c r="A61" s="190">
        <v>1</v>
      </c>
      <c r="B61" s="144">
        <v>1</v>
      </c>
      <c r="C61" s="137" t="s">
        <v>623</v>
      </c>
      <c r="D61" s="141">
        <v>45299</v>
      </c>
      <c r="E61" s="2" t="s">
        <v>608</v>
      </c>
      <c r="F61" s="98" t="s">
        <v>609</v>
      </c>
      <c r="G61" s="99">
        <v>43965974818</v>
      </c>
      <c r="H61" s="74"/>
      <c r="I61" s="74">
        <v>2.52</v>
      </c>
      <c r="J61" s="113"/>
      <c r="K61" s="100">
        <f t="shared" ref="K61:K74" si="10">H61+I61+J61+M61</f>
        <v>2.8976000000000002</v>
      </c>
      <c r="L61" s="95"/>
      <c r="M61" s="95">
        <f t="shared" ref="M61:M74" si="11">SUM(N61:S61)</f>
        <v>0.37759999999999999</v>
      </c>
      <c r="N61" s="64">
        <f t="shared" si="1"/>
        <v>0</v>
      </c>
      <c r="O61" s="64"/>
      <c r="P61" s="95">
        <f t="shared" ref="P61:P74" si="12">+I61*0.13</f>
        <v>0.3276</v>
      </c>
      <c r="Q61" s="64">
        <v>0.05</v>
      </c>
      <c r="R61" s="95">
        <f t="shared" ref="R61:R74" si="13">J61*0.25</f>
        <v>0</v>
      </c>
      <c r="S61" s="64"/>
      <c r="T61" s="101"/>
    </row>
    <row r="62" spans="1:20" x14ac:dyDescent="0.2">
      <c r="A62" s="190">
        <v>2</v>
      </c>
      <c r="B62" s="144">
        <v>2</v>
      </c>
      <c r="C62" s="137" t="s">
        <v>634</v>
      </c>
      <c r="D62" s="141">
        <v>45299</v>
      </c>
      <c r="E62" s="2" t="s">
        <v>608</v>
      </c>
      <c r="F62" s="98" t="s">
        <v>609</v>
      </c>
      <c r="G62" s="99">
        <v>43965974818</v>
      </c>
      <c r="H62" s="74"/>
      <c r="I62" s="74">
        <v>2.52</v>
      </c>
      <c r="J62" s="113"/>
      <c r="K62" s="100">
        <f t="shared" si="10"/>
        <v>2.8475999999999999</v>
      </c>
      <c r="L62" s="95"/>
      <c r="M62" s="95">
        <f t="shared" si="11"/>
        <v>0.3276</v>
      </c>
      <c r="N62" s="64">
        <f t="shared" si="1"/>
        <v>0</v>
      </c>
      <c r="O62" s="64"/>
      <c r="P62" s="95">
        <f t="shared" si="12"/>
        <v>0.3276</v>
      </c>
      <c r="Q62" s="64"/>
      <c r="R62" s="95">
        <f t="shared" si="13"/>
        <v>0</v>
      </c>
      <c r="S62" s="64"/>
      <c r="T62" s="101"/>
    </row>
    <row r="63" spans="1:20" x14ac:dyDescent="0.2">
      <c r="A63" s="190">
        <v>3</v>
      </c>
      <c r="B63" s="144">
        <v>3</v>
      </c>
      <c r="C63" s="137" t="s">
        <v>622</v>
      </c>
      <c r="D63" s="141">
        <v>45299</v>
      </c>
      <c r="E63" s="2" t="s">
        <v>608</v>
      </c>
      <c r="F63" s="98" t="s">
        <v>609</v>
      </c>
      <c r="G63" s="99">
        <v>43965974818</v>
      </c>
      <c r="H63" s="74"/>
      <c r="I63" s="74">
        <v>2.52</v>
      </c>
      <c r="J63" s="113"/>
      <c r="K63" s="100">
        <f t="shared" si="10"/>
        <v>2.9476</v>
      </c>
      <c r="L63" s="95"/>
      <c r="M63" s="95">
        <f t="shared" si="11"/>
        <v>0.42759999999999998</v>
      </c>
      <c r="N63" s="64">
        <f t="shared" si="1"/>
        <v>0</v>
      </c>
      <c r="O63" s="64"/>
      <c r="P63" s="95">
        <f t="shared" si="12"/>
        <v>0.3276</v>
      </c>
      <c r="Q63" s="64">
        <v>0.1</v>
      </c>
      <c r="R63" s="95">
        <f t="shared" si="13"/>
        <v>0</v>
      </c>
      <c r="S63" s="64"/>
      <c r="T63" s="101"/>
    </row>
    <row r="64" spans="1:20" x14ac:dyDescent="0.2">
      <c r="A64" s="190">
        <v>4</v>
      </c>
      <c r="B64" s="144">
        <v>4</v>
      </c>
      <c r="C64" s="137" t="s">
        <v>621</v>
      </c>
      <c r="D64" s="141">
        <v>45299</v>
      </c>
      <c r="E64" s="2" t="s">
        <v>608</v>
      </c>
      <c r="F64" s="98" t="s">
        <v>609</v>
      </c>
      <c r="G64" s="99">
        <v>43965974818</v>
      </c>
      <c r="H64" s="74"/>
      <c r="I64" s="74">
        <v>2.52</v>
      </c>
      <c r="J64" s="113"/>
      <c r="K64" s="100">
        <f t="shared" si="10"/>
        <v>2.8776000000000002</v>
      </c>
      <c r="L64" s="95"/>
      <c r="M64" s="95">
        <f t="shared" si="11"/>
        <v>0.35760000000000003</v>
      </c>
      <c r="N64" s="64">
        <f t="shared" si="1"/>
        <v>0</v>
      </c>
      <c r="O64" s="64"/>
      <c r="P64" s="95">
        <f t="shared" si="12"/>
        <v>0.3276</v>
      </c>
      <c r="Q64" s="64">
        <v>0.03</v>
      </c>
      <c r="R64" s="95">
        <f t="shared" si="13"/>
        <v>0</v>
      </c>
      <c r="S64" s="64"/>
      <c r="T64" s="101"/>
    </row>
    <row r="65" spans="1:20" x14ac:dyDescent="0.2">
      <c r="A65" s="190">
        <v>6</v>
      </c>
      <c r="B65" s="144">
        <v>5</v>
      </c>
      <c r="C65" s="137" t="s">
        <v>650</v>
      </c>
      <c r="D65" s="141">
        <v>45322</v>
      </c>
      <c r="E65" s="145" t="s">
        <v>588</v>
      </c>
      <c r="F65" s="146" t="s">
        <v>595</v>
      </c>
      <c r="G65" s="147">
        <v>77465071491</v>
      </c>
      <c r="H65" s="74"/>
      <c r="I65" s="74">
        <v>15.93</v>
      </c>
      <c r="J65" s="113"/>
      <c r="K65" s="100">
        <f t="shared" si="10"/>
        <v>18.000900000000001</v>
      </c>
      <c r="L65" s="95"/>
      <c r="M65" s="95">
        <f t="shared" si="11"/>
        <v>2.0709</v>
      </c>
      <c r="N65" s="64">
        <f t="shared" si="1"/>
        <v>0</v>
      </c>
      <c r="O65" s="64"/>
      <c r="P65" s="95">
        <f t="shared" si="12"/>
        <v>2.0709</v>
      </c>
      <c r="Q65" s="64"/>
      <c r="R65" s="95">
        <f t="shared" si="13"/>
        <v>0</v>
      </c>
      <c r="S65" s="64"/>
      <c r="T65" s="101"/>
    </row>
    <row r="66" spans="1:20" x14ac:dyDescent="0.2">
      <c r="A66" s="190">
        <v>7</v>
      </c>
      <c r="B66" s="144">
        <v>6</v>
      </c>
      <c r="C66" s="137" t="s">
        <v>650</v>
      </c>
      <c r="D66" s="141">
        <v>45322</v>
      </c>
      <c r="E66" s="2" t="s">
        <v>587</v>
      </c>
      <c r="F66" s="98" t="s">
        <v>607</v>
      </c>
      <c r="G66" s="99">
        <v>51260824290</v>
      </c>
      <c r="H66" s="74"/>
      <c r="I66" s="74">
        <v>3.32</v>
      </c>
      <c r="J66" s="113"/>
      <c r="K66" s="100">
        <f t="shared" si="10"/>
        <v>3.7515999999999998</v>
      </c>
      <c r="L66" s="95"/>
      <c r="M66" s="95">
        <f t="shared" si="11"/>
        <v>0.43159999999999998</v>
      </c>
      <c r="N66" s="64">
        <f t="shared" si="1"/>
        <v>0</v>
      </c>
      <c r="O66" s="64"/>
      <c r="P66" s="95">
        <f t="shared" si="12"/>
        <v>0.43159999999999998</v>
      </c>
      <c r="Q66" s="64"/>
      <c r="R66" s="95">
        <f t="shared" si="13"/>
        <v>0</v>
      </c>
      <c r="S66" s="64"/>
      <c r="T66" s="101"/>
    </row>
    <row r="67" spans="1:20" x14ac:dyDescent="0.2">
      <c r="A67" s="190">
        <v>8</v>
      </c>
      <c r="B67" s="144">
        <v>7</v>
      </c>
      <c r="C67" s="137" t="s">
        <v>651</v>
      </c>
      <c r="D67" s="141">
        <v>45322</v>
      </c>
      <c r="E67" s="2" t="s">
        <v>587</v>
      </c>
      <c r="F67" s="98" t="s">
        <v>607</v>
      </c>
      <c r="G67" s="99">
        <v>51260824290</v>
      </c>
      <c r="H67" s="74"/>
      <c r="I67" s="74">
        <v>3.32</v>
      </c>
      <c r="J67" s="113"/>
      <c r="K67" s="100">
        <f t="shared" si="10"/>
        <v>3.7515999999999998</v>
      </c>
      <c r="L67" s="95"/>
      <c r="M67" s="95">
        <f t="shared" si="11"/>
        <v>0.43159999999999998</v>
      </c>
      <c r="N67" s="64">
        <f t="shared" si="1"/>
        <v>0</v>
      </c>
      <c r="O67" s="64"/>
      <c r="P67" s="95">
        <f t="shared" si="12"/>
        <v>0.43159999999999998</v>
      </c>
      <c r="Q67" s="64"/>
      <c r="R67" s="95">
        <f t="shared" si="13"/>
        <v>0</v>
      </c>
      <c r="S67" s="64"/>
      <c r="T67" s="101"/>
    </row>
    <row r="68" spans="1:20" x14ac:dyDescent="0.2">
      <c r="A68" s="190">
        <v>9</v>
      </c>
      <c r="B68" s="144">
        <v>8</v>
      </c>
      <c r="C68" s="137" t="s">
        <v>652</v>
      </c>
      <c r="D68" s="141">
        <v>45322</v>
      </c>
      <c r="E68" s="145" t="s">
        <v>587</v>
      </c>
      <c r="F68" s="146" t="s">
        <v>607</v>
      </c>
      <c r="G68" s="147">
        <v>51260824290</v>
      </c>
      <c r="H68" s="74"/>
      <c r="I68" s="74">
        <v>3.32</v>
      </c>
      <c r="J68" s="113"/>
      <c r="K68" s="100">
        <f t="shared" si="10"/>
        <v>3.7515999999999998</v>
      </c>
      <c r="L68" s="95"/>
      <c r="M68" s="95">
        <f t="shared" si="11"/>
        <v>0.43159999999999998</v>
      </c>
      <c r="N68" s="64">
        <f t="shared" si="1"/>
        <v>0</v>
      </c>
      <c r="O68" s="64"/>
      <c r="P68" s="95">
        <f t="shared" si="12"/>
        <v>0.43159999999999998</v>
      </c>
      <c r="Q68" s="64"/>
      <c r="R68" s="95">
        <f t="shared" si="13"/>
        <v>0</v>
      </c>
      <c r="S68" s="64"/>
    </row>
    <row r="69" spans="1:20" ht="13.5" thickBot="1" x14ac:dyDescent="0.25">
      <c r="A69" s="192">
        <v>10</v>
      </c>
      <c r="B69" s="168">
        <v>9</v>
      </c>
      <c r="C69" s="169" t="s">
        <v>653</v>
      </c>
      <c r="D69" s="170">
        <v>45322</v>
      </c>
      <c r="E69" s="160" t="s">
        <v>589</v>
      </c>
      <c r="F69" s="160" t="s">
        <v>594</v>
      </c>
      <c r="G69" s="161">
        <v>26618043061</v>
      </c>
      <c r="H69" s="74"/>
      <c r="I69" s="74"/>
      <c r="J69" s="113">
        <v>187.5</v>
      </c>
      <c r="K69" s="100">
        <f t="shared" si="10"/>
        <v>234.375</v>
      </c>
      <c r="L69" s="95"/>
      <c r="M69" s="95">
        <f t="shared" si="11"/>
        <v>46.875</v>
      </c>
      <c r="N69" s="64">
        <f t="shared" si="1"/>
        <v>0</v>
      </c>
      <c r="O69" s="64"/>
      <c r="P69" s="95">
        <f t="shared" si="12"/>
        <v>0</v>
      </c>
      <c r="Q69" s="64"/>
      <c r="R69" s="95">
        <f t="shared" si="13"/>
        <v>46.875</v>
      </c>
      <c r="S69" s="64"/>
    </row>
    <row r="70" spans="1:20" x14ac:dyDescent="0.2">
      <c r="A70" s="190">
        <v>14</v>
      </c>
      <c r="B70" s="144">
        <v>10</v>
      </c>
      <c r="C70" s="137" t="s">
        <v>665</v>
      </c>
      <c r="D70" s="141">
        <v>45327</v>
      </c>
      <c r="E70" s="154" t="s">
        <v>666</v>
      </c>
      <c r="F70" s="155" t="s">
        <v>667</v>
      </c>
      <c r="G70" s="156">
        <v>57500462912</v>
      </c>
      <c r="H70" s="74"/>
      <c r="I70" s="74"/>
      <c r="J70" s="113">
        <v>239.47</v>
      </c>
      <c r="K70" s="100">
        <f t="shared" si="10"/>
        <v>299.33749999999998</v>
      </c>
      <c r="L70" s="95"/>
      <c r="M70" s="95">
        <f t="shared" si="11"/>
        <v>59.8675</v>
      </c>
      <c r="N70" s="64">
        <f t="shared" si="1"/>
        <v>0</v>
      </c>
      <c r="O70" s="64"/>
      <c r="P70" s="95">
        <f t="shared" si="12"/>
        <v>0</v>
      </c>
      <c r="Q70" s="64"/>
      <c r="R70" s="95">
        <f t="shared" si="13"/>
        <v>59.8675</v>
      </c>
      <c r="S70" s="64"/>
    </row>
    <row r="71" spans="1:20" x14ac:dyDescent="0.2">
      <c r="A71" s="189">
        <v>15</v>
      </c>
      <c r="B71" s="144">
        <v>11</v>
      </c>
      <c r="C71" s="137" t="s">
        <v>623</v>
      </c>
      <c r="D71" s="141">
        <v>45328</v>
      </c>
      <c r="E71" s="2" t="s">
        <v>608</v>
      </c>
      <c r="F71" s="98" t="s">
        <v>609</v>
      </c>
      <c r="G71" s="99">
        <v>43965974818</v>
      </c>
      <c r="H71" s="74"/>
      <c r="I71" s="74">
        <v>2.52</v>
      </c>
      <c r="J71" s="113"/>
      <c r="K71" s="100">
        <f t="shared" si="10"/>
        <v>2.8475999999999999</v>
      </c>
      <c r="L71" s="95"/>
      <c r="M71" s="95">
        <f t="shared" si="11"/>
        <v>0.3276</v>
      </c>
      <c r="N71" s="64">
        <f t="shared" si="1"/>
        <v>0</v>
      </c>
      <c r="O71" s="64"/>
      <c r="P71" s="95">
        <f t="shared" si="12"/>
        <v>0.3276</v>
      </c>
      <c r="Q71" s="64"/>
      <c r="R71" s="95">
        <f t="shared" si="13"/>
        <v>0</v>
      </c>
      <c r="S71" s="64"/>
    </row>
    <row r="72" spans="1:20" x14ac:dyDescent="0.2">
      <c r="A72" s="189">
        <v>16</v>
      </c>
      <c r="B72" s="144">
        <v>12</v>
      </c>
      <c r="C72" s="137" t="s">
        <v>622</v>
      </c>
      <c r="D72" s="141">
        <v>45328</v>
      </c>
      <c r="E72" s="2" t="s">
        <v>608</v>
      </c>
      <c r="F72" s="98" t="s">
        <v>609</v>
      </c>
      <c r="G72" s="99">
        <v>43965974818</v>
      </c>
      <c r="H72" s="74"/>
      <c r="I72" s="74">
        <v>3.27</v>
      </c>
      <c r="J72" s="113"/>
      <c r="K72" s="100">
        <f t="shared" si="10"/>
        <v>3.6951000000000001</v>
      </c>
      <c r="L72" s="95"/>
      <c r="M72" s="95">
        <f t="shared" si="11"/>
        <v>0.42510000000000003</v>
      </c>
      <c r="N72" s="64">
        <f t="shared" si="1"/>
        <v>0</v>
      </c>
      <c r="O72" s="64"/>
      <c r="P72" s="95">
        <f t="shared" si="12"/>
        <v>0.42510000000000003</v>
      </c>
      <c r="Q72" s="64"/>
      <c r="R72" s="95">
        <f t="shared" si="13"/>
        <v>0</v>
      </c>
      <c r="S72" s="64"/>
    </row>
    <row r="73" spans="1:20" x14ac:dyDescent="0.2">
      <c r="A73" s="189">
        <v>17</v>
      </c>
      <c r="B73" s="144">
        <v>13</v>
      </c>
      <c r="C73" s="137" t="s">
        <v>634</v>
      </c>
      <c r="D73" s="141">
        <v>45328</v>
      </c>
      <c r="E73" s="2" t="s">
        <v>608</v>
      </c>
      <c r="F73" s="98" t="s">
        <v>609</v>
      </c>
      <c r="G73" s="99">
        <v>43965974818</v>
      </c>
      <c r="H73" s="74"/>
      <c r="I73" s="74">
        <v>6.66</v>
      </c>
      <c r="J73" s="113"/>
      <c r="K73" s="100">
        <f t="shared" si="10"/>
        <v>7.5258000000000003</v>
      </c>
      <c r="L73" s="95"/>
      <c r="M73" s="95">
        <f t="shared" si="11"/>
        <v>0.86580000000000001</v>
      </c>
      <c r="N73" s="64">
        <f t="shared" si="1"/>
        <v>0</v>
      </c>
      <c r="O73" s="64"/>
      <c r="P73" s="95">
        <f t="shared" si="12"/>
        <v>0.86580000000000001</v>
      </c>
      <c r="Q73" s="64"/>
      <c r="R73" s="95">
        <f t="shared" si="13"/>
        <v>0</v>
      </c>
      <c r="S73" s="64"/>
    </row>
    <row r="74" spans="1:20" x14ac:dyDescent="0.2">
      <c r="A74" s="189">
        <v>18</v>
      </c>
      <c r="B74" s="144">
        <v>14</v>
      </c>
      <c r="C74" s="137" t="s">
        <v>621</v>
      </c>
      <c r="D74" s="141">
        <v>45328</v>
      </c>
      <c r="E74" s="2" t="s">
        <v>608</v>
      </c>
      <c r="F74" s="98" t="s">
        <v>609</v>
      </c>
      <c r="G74" s="99">
        <v>43965974818</v>
      </c>
      <c r="H74" s="74"/>
      <c r="I74" s="74">
        <v>3.22</v>
      </c>
      <c r="J74" s="113"/>
      <c r="K74" s="100">
        <f t="shared" si="10"/>
        <v>3.6386000000000003</v>
      </c>
      <c r="L74" s="95"/>
      <c r="M74" s="95">
        <f t="shared" si="11"/>
        <v>0.41860000000000003</v>
      </c>
      <c r="N74" s="64">
        <f t="shared" si="1"/>
        <v>0</v>
      </c>
      <c r="O74" s="64"/>
      <c r="P74" s="95">
        <f t="shared" si="12"/>
        <v>0.41860000000000003</v>
      </c>
      <c r="Q74" s="64"/>
      <c r="R74" s="95">
        <f t="shared" si="13"/>
        <v>0</v>
      </c>
      <c r="S74" s="64"/>
    </row>
    <row r="75" spans="1:20" x14ac:dyDescent="0.2">
      <c r="A75" s="189">
        <v>19</v>
      </c>
      <c r="B75" s="144">
        <v>15</v>
      </c>
      <c r="C75" s="137" t="s">
        <v>668</v>
      </c>
      <c r="D75" s="141">
        <v>45341</v>
      </c>
      <c r="E75" s="154" t="s">
        <v>666</v>
      </c>
      <c r="F75" s="155" t="s">
        <v>667</v>
      </c>
      <c r="G75" s="156">
        <v>57500462912</v>
      </c>
      <c r="H75" s="74"/>
      <c r="I75" s="74"/>
      <c r="J75" s="113">
        <v>128</v>
      </c>
      <c r="K75" s="100">
        <f>H75+I75+J75+M75</f>
        <v>160</v>
      </c>
      <c r="L75" s="95"/>
      <c r="M75" s="95">
        <f>SUM(N75:S75)</f>
        <v>32</v>
      </c>
      <c r="N75" s="64">
        <f t="shared" si="1"/>
        <v>0</v>
      </c>
      <c r="O75" s="64"/>
      <c r="P75" s="95">
        <f>+I75*0.13</f>
        <v>0</v>
      </c>
      <c r="Q75" s="64"/>
      <c r="R75" s="95">
        <f>J75*0.25</f>
        <v>32</v>
      </c>
      <c r="S75" s="64"/>
    </row>
    <row r="76" spans="1:20" x14ac:dyDescent="0.2">
      <c r="A76" s="189">
        <v>23</v>
      </c>
      <c r="B76" s="144">
        <v>16</v>
      </c>
      <c r="C76" s="137" t="s">
        <v>676</v>
      </c>
      <c r="D76" s="141">
        <v>45351</v>
      </c>
      <c r="E76" s="2" t="s">
        <v>589</v>
      </c>
      <c r="F76" s="2" t="s">
        <v>594</v>
      </c>
      <c r="G76" s="99">
        <v>26618043061</v>
      </c>
      <c r="H76" s="74"/>
      <c r="I76" s="74"/>
      <c r="J76" s="113">
        <v>50</v>
      </c>
      <c r="K76" s="100">
        <f t="shared" ref="K76:K96" si="14">H76+I76+J76+M76</f>
        <v>62.5</v>
      </c>
      <c r="L76" s="95"/>
      <c r="M76" s="95">
        <f t="shared" ref="M76:M96" si="15">SUM(N76:S76)</f>
        <v>12.5</v>
      </c>
      <c r="N76" s="64">
        <f t="shared" si="1"/>
        <v>0</v>
      </c>
      <c r="O76" s="64"/>
      <c r="P76" s="95">
        <f t="shared" ref="P76:P96" si="16">+I76*0.13</f>
        <v>0</v>
      </c>
      <c r="Q76" s="64"/>
      <c r="R76" s="95">
        <f t="shared" ref="R76:R96" si="17">J76*0.25</f>
        <v>12.5</v>
      </c>
      <c r="S76" s="64"/>
    </row>
    <row r="77" spans="1:20" x14ac:dyDescent="0.2">
      <c r="A77" s="189">
        <v>24</v>
      </c>
      <c r="B77" s="144">
        <v>17</v>
      </c>
      <c r="C77" s="137" t="s">
        <v>677</v>
      </c>
      <c r="D77" s="141">
        <v>45351</v>
      </c>
      <c r="E77" s="2" t="s">
        <v>587</v>
      </c>
      <c r="F77" s="98" t="s">
        <v>607</v>
      </c>
      <c r="G77" s="99">
        <v>51260824290</v>
      </c>
      <c r="H77" s="74"/>
      <c r="I77" s="74">
        <v>3.32</v>
      </c>
      <c r="J77" s="113"/>
      <c r="K77" s="100">
        <f t="shared" si="14"/>
        <v>3.7515999999999998</v>
      </c>
      <c r="L77" s="95"/>
      <c r="M77" s="95">
        <f t="shared" si="15"/>
        <v>0.43159999999999998</v>
      </c>
      <c r="N77" s="64">
        <f t="shared" si="1"/>
        <v>0</v>
      </c>
      <c r="O77" s="64"/>
      <c r="P77" s="95">
        <f t="shared" si="16"/>
        <v>0.43159999999999998</v>
      </c>
      <c r="Q77" s="64"/>
      <c r="R77" s="95">
        <f t="shared" si="17"/>
        <v>0</v>
      </c>
      <c r="S77" s="64"/>
    </row>
    <row r="78" spans="1:20" x14ac:dyDescent="0.2">
      <c r="A78" s="189">
        <v>25</v>
      </c>
      <c r="B78" s="144">
        <v>18</v>
      </c>
      <c r="C78" s="137" t="s">
        <v>678</v>
      </c>
      <c r="D78" s="141">
        <v>45351</v>
      </c>
      <c r="E78" s="2" t="s">
        <v>587</v>
      </c>
      <c r="F78" s="98" t="s">
        <v>607</v>
      </c>
      <c r="G78" s="99">
        <v>51260824290</v>
      </c>
      <c r="H78" s="74"/>
      <c r="I78" s="74">
        <v>3.32</v>
      </c>
      <c r="J78" s="113"/>
      <c r="K78" s="100">
        <f t="shared" si="14"/>
        <v>3.7515999999999998</v>
      </c>
      <c r="L78" s="95"/>
      <c r="M78" s="95">
        <f t="shared" si="15"/>
        <v>0.43159999999999998</v>
      </c>
      <c r="N78" s="64">
        <f t="shared" si="1"/>
        <v>0</v>
      </c>
      <c r="O78" s="64"/>
      <c r="P78" s="95">
        <f t="shared" si="16"/>
        <v>0.43159999999999998</v>
      </c>
      <c r="Q78" s="64"/>
      <c r="R78" s="95">
        <f t="shared" si="17"/>
        <v>0</v>
      </c>
      <c r="S78" s="64"/>
    </row>
    <row r="79" spans="1:20" x14ac:dyDescent="0.2">
      <c r="A79" s="189">
        <v>26</v>
      </c>
      <c r="B79" s="144">
        <v>19</v>
      </c>
      <c r="C79" s="137" t="s">
        <v>679</v>
      </c>
      <c r="D79" s="141">
        <v>45351</v>
      </c>
      <c r="E79" s="145" t="s">
        <v>587</v>
      </c>
      <c r="F79" s="146" t="s">
        <v>607</v>
      </c>
      <c r="G79" s="147">
        <v>51260824290</v>
      </c>
      <c r="H79" s="74"/>
      <c r="I79" s="74">
        <v>3.32</v>
      </c>
      <c r="J79" s="113"/>
      <c r="K79" s="100">
        <f t="shared" si="14"/>
        <v>3.7515999999999998</v>
      </c>
      <c r="L79" s="95"/>
      <c r="M79" s="95">
        <f t="shared" si="15"/>
        <v>0.43159999999999998</v>
      </c>
      <c r="N79" s="64">
        <f t="shared" si="1"/>
        <v>0</v>
      </c>
      <c r="O79" s="64"/>
      <c r="P79" s="95">
        <f t="shared" si="16"/>
        <v>0.43159999999999998</v>
      </c>
      <c r="Q79" s="64"/>
      <c r="R79" s="95">
        <f t="shared" si="17"/>
        <v>0</v>
      </c>
      <c r="S79" s="64"/>
    </row>
    <row r="80" spans="1:20" ht="13.5" thickBot="1" x14ac:dyDescent="0.25">
      <c r="A80" s="189">
        <v>27</v>
      </c>
      <c r="B80" s="173">
        <v>20</v>
      </c>
      <c r="C80" s="174" t="s">
        <v>679</v>
      </c>
      <c r="D80" s="175">
        <v>45351</v>
      </c>
      <c r="E80" s="145" t="s">
        <v>588</v>
      </c>
      <c r="F80" s="176" t="s">
        <v>595</v>
      </c>
      <c r="G80" s="147">
        <v>77465071491</v>
      </c>
      <c r="H80" s="74"/>
      <c r="I80" s="74">
        <v>15.93</v>
      </c>
      <c r="J80" s="113"/>
      <c r="K80" s="100">
        <f t="shared" si="14"/>
        <v>18.000900000000001</v>
      </c>
      <c r="L80" s="95"/>
      <c r="M80" s="95">
        <f t="shared" si="15"/>
        <v>2.0709</v>
      </c>
      <c r="N80" s="64">
        <f t="shared" si="1"/>
        <v>0</v>
      </c>
      <c r="O80" s="64"/>
      <c r="P80" s="95">
        <f t="shared" si="16"/>
        <v>2.0709</v>
      </c>
      <c r="Q80" s="64"/>
      <c r="R80" s="95">
        <f t="shared" si="17"/>
        <v>0</v>
      </c>
      <c r="S80" s="64"/>
    </row>
    <row r="81" spans="1:40" x14ac:dyDescent="0.2">
      <c r="A81" s="188">
        <v>30</v>
      </c>
      <c r="B81" s="142">
        <v>21</v>
      </c>
      <c r="C81" s="143" t="s">
        <v>621</v>
      </c>
      <c r="D81" s="150">
        <v>45357</v>
      </c>
      <c r="E81" s="151" t="s">
        <v>608</v>
      </c>
      <c r="F81" s="152" t="s">
        <v>609</v>
      </c>
      <c r="G81" s="153">
        <v>43965974818</v>
      </c>
      <c r="H81" s="74"/>
      <c r="I81" s="74">
        <v>3.17</v>
      </c>
      <c r="J81" s="113"/>
      <c r="K81" s="100">
        <f t="shared" si="14"/>
        <v>3.5821000000000001</v>
      </c>
      <c r="L81" s="95"/>
      <c r="M81" s="95">
        <f t="shared" si="15"/>
        <v>0.41210000000000002</v>
      </c>
      <c r="N81" s="64">
        <f t="shared" si="1"/>
        <v>0</v>
      </c>
      <c r="O81" s="64"/>
      <c r="P81" s="95">
        <f t="shared" si="16"/>
        <v>0.41210000000000002</v>
      </c>
      <c r="Q81" s="64"/>
      <c r="R81" s="95">
        <f t="shared" si="17"/>
        <v>0</v>
      </c>
      <c r="S81" s="64"/>
      <c r="W81" s="1"/>
      <c r="X81" s="43"/>
      <c r="Y81" s="177"/>
      <c r="AA81" s="178"/>
      <c r="AB81" s="179"/>
      <c r="AC81" s="180"/>
      <c r="AD81" s="180"/>
      <c r="AE81" s="181"/>
      <c r="AF81" s="182">
        <f>AC81+AD81+AE81+AH81</f>
        <v>0</v>
      </c>
      <c r="AG81" s="183"/>
      <c r="AH81" s="183">
        <f>SUM(AI81:AN81)</f>
        <v>0</v>
      </c>
      <c r="AI81" s="101"/>
      <c r="AJ81" s="101"/>
      <c r="AK81" s="183">
        <f>+AD81*0.13</f>
        <v>0</v>
      </c>
      <c r="AL81" s="101"/>
      <c r="AM81" s="183">
        <f>AE81*0.25</f>
        <v>0</v>
      </c>
      <c r="AN81" s="101"/>
    </row>
    <row r="82" spans="1:40" x14ac:dyDescent="0.2">
      <c r="A82" s="189">
        <v>31</v>
      </c>
      <c r="B82" s="144">
        <v>22</v>
      </c>
      <c r="C82" s="137" t="s">
        <v>623</v>
      </c>
      <c r="D82" s="141">
        <v>45357</v>
      </c>
      <c r="E82" s="2" t="s">
        <v>608</v>
      </c>
      <c r="F82" s="98" t="s">
        <v>609</v>
      </c>
      <c r="G82" s="99">
        <v>43965974818</v>
      </c>
      <c r="H82" s="74"/>
      <c r="I82" s="74">
        <v>2.52</v>
      </c>
      <c r="J82" s="113"/>
      <c r="K82" s="100">
        <f t="shared" si="14"/>
        <v>2.8475999999999999</v>
      </c>
      <c r="L82" s="95"/>
      <c r="M82" s="95">
        <f t="shared" si="15"/>
        <v>0.3276</v>
      </c>
      <c r="N82" s="64">
        <f t="shared" si="1"/>
        <v>0</v>
      </c>
      <c r="O82" s="64"/>
      <c r="P82" s="95">
        <f t="shared" si="16"/>
        <v>0.3276</v>
      </c>
      <c r="Q82" s="64"/>
      <c r="R82" s="95">
        <f t="shared" si="17"/>
        <v>0</v>
      </c>
      <c r="S82" s="64"/>
      <c r="W82" s="1"/>
      <c r="AA82" s="178"/>
      <c r="AB82" s="111"/>
      <c r="AC82" s="180"/>
      <c r="AD82" s="180"/>
      <c r="AE82" s="181"/>
      <c r="AF82" s="182">
        <f>AC82+AD82+AE82+AH82</f>
        <v>0</v>
      </c>
      <c r="AG82" s="183"/>
      <c r="AH82" s="183">
        <f>SUM(AI82:AN82)</f>
        <v>0</v>
      </c>
      <c r="AI82" s="101"/>
      <c r="AJ82" s="101"/>
      <c r="AK82" s="183">
        <f>+AD82*0.13</f>
        <v>0</v>
      </c>
      <c r="AL82" s="101"/>
      <c r="AM82" s="183">
        <f>AE82*0.25</f>
        <v>0</v>
      </c>
      <c r="AN82" s="101"/>
    </row>
    <row r="83" spans="1:40" x14ac:dyDescent="0.2">
      <c r="A83" s="189">
        <v>32</v>
      </c>
      <c r="B83" s="144">
        <v>23</v>
      </c>
      <c r="C83" s="137" t="s">
        <v>634</v>
      </c>
      <c r="D83" s="141">
        <v>45357</v>
      </c>
      <c r="E83" s="2" t="s">
        <v>608</v>
      </c>
      <c r="F83" s="98" t="s">
        <v>609</v>
      </c>
      <c r="G83" s="99">
        <v>43965974818</v>
      </c>
      <c r="H83" s="74"/>
      <c r="I83" s="74">
        <v>4.79</v>
      </c>
      <c r="J83" s="113"/>
      <c r="K83" s="100">
        <f t="shared" si="14"/>
        <v>5.4127000000000001</v>
      </c>
      <c r="L83" s="95"/>
      <c r="M83" s="95">
        <f t="shared" si="15"/>
        <v>0.62270000000000003</v>
      </c>
      <c r="N83" s="64">
        <f t="shared" si="1"/>
        <v>0</v>
      </c>
      <c r="O83" s="64"/>
      <c r="P83" s="95">
        <f t="shared" si="16"/>
        <v>0.62270000000000003</v>
      </c>
      <c r="Q83" s="64"/>
      <c r="R83" s="95">
        <f t="shared" si="17"/>
        <v>0</v>
      </c>
      <c r="S83" s="64"/>
    </row>
    <row r="84" spans="1:40" x14ac:dyDescent="0.2">
      <c r="A84" s="189">
        <v>33</v>
      </c>
      <c r="B84" s="144">
        <v>24</v>
      </c>
      <c r="C84" s="137" t="s">
        <v>622</v>
      </c>
      <c r="D84" s="141">
        <v>45357</v>
      </c>
      <c r="E84" s="2" t="s">
        <v>608</v>
      </c>
      <c r="F84" s="98" t="s">
        <v>609</v>
      </c>
      <c r="G84" s="99">
        <v>43965974818</v>
      </c>
      <c r="H84" s="74"/>
      <c r="I84" s="74">
        <v>2.9</v>
      </c>
      <c r="J84" s="113"/>
      <c r="K84" s="100">
        <f t="shared" si="14"/>
        <v>3.2770000000000001</v>
      </c>
      <c r="L84" s="95"/>
      <c r="M84" s="95">
        <f t="shared" si="15"/>
        <v>0.377</v>
      </c>
      <c r="N84" s="64">
        <f t="shared" si="1"/>
        <v>0</v>
      </c>
      <c r="O84" s="64"/>
      <c r="P84" s="95">
        <f t="shared" si="16"/>
        <v>0.377</v>
      </c>
      <c r="Q84" s="64"/>
      <c r="R84" s="95">
        <f t="shared" si="17"/>
        <v>0</v>
      </c>
      <c r="S84" s="64"/>
    </row>
    <row r="85" spans="1:40" x14ac:dyDescent="0.2">
      <c r="A85" s="189">
        <v>36</v>
      </c>
      <c r="B85" s="144">
        <v>25</v>
      </c>
      <c r="C85" s="137" t="s">
        <v>703</v>
      </c>
      <c r="D85" s="141">
        <v>45387</v>
      </c>
      <c r="E85" s="2" t="s">
        <v>587</v>
      </c>
      <c r="F85" s="98" t="s">
        <v>607</v>
      </c>
      <c r="G85" s="99">
        <v>51260824290</v>
      </c>
      <c r="H85" s="74"/>
      <c r="I85" s="74">
        <v>3.32</v>
      </c>
      <c r="J85" s="113"/>
      <c r="K85" s="100">
        <f t="shared" si="14"/>
        <v>3.7515999999999998</v>
      </c>
      <c r="L85" s="95"/>
      <c r="M85" s="95">
        <f t="shared" si="15"/>
        <v>0.43159999999999998</v>
      </c>
      <c r="N85" s="64">
        <f t="shared" si="1"/>
        <v>0</v>
      </c>
      <c r="O85" s="64"/>
      <c r="P85" s="95">
        <f t="shared" si="16"/>
        <v>0.43159999999999998</v>
      </c>
      <c r="Q85" s="64"/>
      <c r="R85" s="95">
        <f t="shared" si="17"/>
        <v>0</v>
      </c>
      <c r="S85" s="64"/>
    </row>
    <row r="86" spans="1:40" x14ac:dyDescent="0.2">
      <c r="A86" s="189">
        <v>37</v>
      </c>
      <c r="B86" s="144">
        <v>26</v>
      </c>
      <c r="C86" s="137" t="s">
        <v>704</v>
      </c>
      <c r="D86" s="141">
        <v>45387</v>
      </c>
      <c r="E86" s="2" t="s">
        <v>587</v>
      </c>
      <c r="F86" s="98" t="s">
        <v>607</v>
      </c>
      <c r="G86" s="99">
        <v>51260824290</v>
      </c>
      <c r="H86" s="74"/>
      <c r="I86" s="74">
        <v>3.32</v>
      </c>
      <c r="J86" s="113"/>
      <c r="K86" s="100">
        <f t="shared" si="14"/>
        <v>3.7515999999999998</v>
      </c>
      <c r="L86" s="95"/>
      <c r="M86" s="95">
        <f t="shared" si="15"/>
        <v>0.43159999999999998</v>
      </c>
      <c r="N86" s="64">
        <f t="shared" si="1"/>
        <v>0</v>
      </c>
      <c r="O86" s="64"/>
      <c r="P86" s="95">
        <f t="shared" si="16"/>
        <v>0.43159999999999998</v>
      </c>
      <c r="Q86" s="64"/>
      <c r="R86" s="95">
        <f t="shared" si="17"/>
        <v>0</v>
      </c>
      <c r="S86" s="64"/>
    </row>
    <row r="87" spans="1:40" x14ac:dyDescent="0.2">
      <c r="A87" s="189">
        <v>38</v>
      </c>
      <c r="B87" s="144">
        <v>27</v>
      </c>
      <c r="C87" s="137" t="s">
        <v>705</v>
      </c>
      <c r="D87" s="141">
        <v>45387</v>
      </c>
      <c r="E87" s="145" t="s">
        <v>587</v>
      </c>
      <c r="F87" s="146" t="s">
        <v>607</v>
      </c>
      <c r="G87" s="147">
        <v>51260824290</v>
      </c>
      <c r="H87" s="74"/>
      <c r="I87" s="74">
        <v>3.32</v>
      </c>
      <c r="J87" s="113"/>
      <c r="K87" s="100">
        <f t="shared" si="14"/>
        <v>3.7515999999999998</v>
      </c>
      <c r="L87" s="95"/>
      <c r="M87" s="95">
        <f t="shared" si="15"/>
        <v>0.43159999999999998</v>
      </c>
      <c r="N87" s="64">
        <f t="shared" si="1"/>
        <v>0</v>
      </c>
      <c r="O87" s="64"/>
      <c r="P87" s="95">
        <f t="shared" si="16"/>
        <v>0.43159999999999998</v>
      </c>
      <c r="Q87" s="64"/>
      <c r="R87" s="95">
        <f t="shared" si="17"/>
        <v>0</v>
      </c>
      <c r="S87" s="64"/>
    </row>
    <row r="88" spans="1:40" x14ac:dyDescent="0.2">
      <c r="A88" s="189">
        <v>39</v>
      </c>
      <c r="B88" s="144">
        <v>28</v>
      </c>
      <c r="C88" s="137" t="s">
        <v>703</v>
      </c>
      <c r="D88" s="141">
        <v>45387</v>
      </c>
      <c r="E88" s="145" t="s">
        <v>588</v>
      </c>
      <c r="F88" s="176" t="s">
        <v>595</v>
      </c>
      <c r="G88" s="147">
        <v>77465071491</v>
      </c>
      <c r="H88" s="74"/>
      <c r="I88" s="74">
        <v>15.93</v>
      </c>
      <c r="J88" s="113"/>
      <c r="K88" s="100">
        <f t="shared" si="14"/>
        <v>18.000900000000001</v>
      </c>
      <c r="L88" s="95"/>
      <c r="M88" s="95">
        <f t="shared" si="15"/>
        <v>2.0709</v>
      </c>
      <c r="N88" s="64">
        <f t="shared" si="1"/>
        <v>0</v>
      </c>
      <c r="O88" s="64"/>
      <c r="P88" s="95">
        <f t="shared" si="16"/>
        <v>2.0709</v>
      </c>
      <c r="Q88" s="64"/>
      <c r="R88" s="95">
        <f t="shared" si="17"/>
        <v>0</v>
      </c>
      <c r="S88" s="64"/>
    </row>
    <row r="89" spans="1:40" x14ac:dyDescent="0.2">
      <c r="A89" s="189">
        <v>40</v>
      </c>
      <c r="B89" s="144">
        <v>29</v>
      </c>
      <c r="C89" s="137" t="s">
        <v>691</v>
      </c>
      <c r="D89" s="141">
        <v>45382</v>
      </c>
      <c r="E89" s="2" t="s">
        <v>589</v>
      </c>
      <c r="F89" s="2" t="s">
        <v>594</v>
      </c>
      <c r="G89" s="99">
        <v>26618043061</v>
      </c>
      <c r="H89" s="74"/>
      <c r="I89" s="74"/>
      <c r="J89" s="113">
        <v>77.5</v>
      </c>
      <c r="K89" s="100">
        <f t="shared" si="14"/>
        <v>96.875</v>
      </c>
      <c r="L89" s="95"/>
      <c r="M89" s="95">
        <f t="shared" si="15"/>
        <v>19.375</v>
      </c>
      <c r="N89" s="64">
        <f t="shared" si="1"/>
        <v>0</v>
      </c>
      <c r="O89" s="64"/>
      <c r="P89" s="95">
        <f t="shared" si="16"/>
        <v>0</v>
      </c>
      <c r="Q89" s="64"/>
      <c r="R89" s="95">
        <f t="shared" si="17"/>
        <v>19.375</v>
      </c>
      <c r="S89" s="64"/>
    </row>
    <row r="90" spans="1:40" x14ac:dyDescent="0.2">
      <c r="A90" s="189">
        <v>43</v>
      </c>
      <c r="B90" s="144">
        <v>30</v>
      </c>
      <c r="C90" s="137" t="s">
        <v>634</v>
      </c>
      <c r="D90" s="141">
        <v>45387</v>
      </c>
      <c r="E90" s="2" t="s">
        <v>608</v>
      </c>
      <c r="F90" s="98" t="s">
        <v>609</v>
      </c>
      <c r="G90" s="99">
        <v>43965974818</v>
      </c>
      <c r="H90" s="74"/>
      <c r="I90" s="74">
        <v>6.04</v>
      </c>
      <c r="J90" s="113"/>
      <c r="K90" s="100">
        <f t="shared" si="14"/>
        <v>6.8251999999999997</v>
      </c>
      <c r="L90" s="95"/>
      <c r="M90" s="95">
        <f t="shared" si="15"/>
        <v>0.78520000000000001</v>
      </c>
      <c r="N90" s="64">
        <f t="shared" si="1"/>
        <v>0</v>
      </c>
      <c r="O90" s="64"/>
      <c r="P90" s="95">
        <f t="shared" si="16"/>
        <v>0.78520000000000001</v>
      </c>
      <c r="Q90" s="64"/>
      <c r="R90" s="95">
        <f t="shared" si="17"/>
        <v>0</v>
      </c>
      <c r="S90" s="64"/>
    </row>
    <row r="91" spans="1:40" x14ac:dyDescent="0.2">
      <c r="A91" s="189">
        <v>44</v>
      </c>
      <c r="B91" s="144">
        <v>31</v>
      </c>
      <c r="C91" s="137" t="s">
        <v>622</v>
      </c>
      <c r="D91" s="141">
        <v>45387</v>
      </c>
      <c r="E91" s="2" t="s">
        <v>608</v>
      </c>
      <c r="F91" s="98" t="s">
        <v>609</v>
      </c>
      <c r="G91" s="99">
        <v>43965974818</v>
      </c>
      <c r="H91" s="74"/>
      <c r="I91" s="74">
        <v>3.02</v>
      </c>
      <c r="J91" s="113"/>
      <c r="K91" s="100">
        <f t="shared" si="14"/>
        <v>3.4125999999999999</v>
      </c>
      <c r="L91" s="95"/>
      <c r="M91" s="95">
        <f t="shared" si="15"/>
        <v>0.3926</v>
      </c>
      <c r="N91" s="64">
        <f t="shared" si="1"/>
        <v>0</v>
      </c>
      <c r="O91" s="64"/>
      <c r="P91" s="95">
        <f t="shared" si="16"/>
        <v>0.3926</v>
      </c>
      <c r="Q91" s="64"/>
      <c r="R91" s="95">
        <f t="shared" si="17"/>
        <v>0</v>
      </c>
      <c r="S91" s="64"/>
    </row>
    <row r="92" spans="1:40" x14ac:dyDescent="0.2">
      <c r="A92" s="189">
        <v>45</v>
      </c>
      <c r="B92" s="144">
        <v>32</v>
      </c>
      <c r="C92" s="137" t="s">
        <v>621</v>
      </c>
      <c r="D92" s="141">
        <v>45387</v>
      </c>
      <c r="E92" s="2" t="s">
        <v>608</v>
      </c>
      <c r="F92" s="98" t="s">
        <v>609</v>
      </c>
      <c r="G92" s="99">
        <v>43965974818</v>
      </c>
      <c r="H92" s="74"/>
      <c r="I92" s="74">
        <v>5.2</v>
      </c>
      <c r="J92" s="113"/>
      <c r="K92" s="100">
        <f t="shared" si="14"/>
        <v>5.8760000000000003</v>
      </c>
      <c r="L92" s="95"/>
      <c r="M92" s="95">
        <f t="shared" si="15"/>
        <v>0.67600000000000005</v>
      </c>
      <c r="N92" s="64">
        <f t="shared" si="1"/>
        <v>0</v>
      </c>
      <c r="O92" s="64"/>
      <c r="P92" s="95">
        <f t="shared" si="16"/>
        <v>0.67600000000000005</v>
      </c>
      <c r="Q92" s="64"/>
      <c r="R92" s="95">
        <f t="shared" si="17"/>
        <v>0</v>
      </c>
      <c r="S92" s="64"/>
    </row>
    <row r="93" spans="1:40" x14ac:dyDescent="0.2">
      <c r="A93" s="189">
        <v>46</v>
      </c>
      <c r="B93" s="144">
        <v>33</v>
      </c>
      <c r="C93" s="137" t="s">
        <v>623</v>
      </c>
      <c r="D93" s="141">
        <v>45387</v>
      </c>
      <c r="E93" s="2" t="s">
        <v>608</v>
      </c>
      <c r="F93" s="98" t="s">
        <v>609</v>
      </c>
      <c r="G93" s="99">
        <v>43965974818</v>
      </c>
      <c r="H93" s="74"/>
      <c r="I93" s="74">
        <v>3.92</v>
      </c>
      <c r="J93" s="113"/>
      <c r="K93" s="100">
        <f t="shared" si="14"/>
        <v>4.4295999999999998</v>
      </c>
      <c r="L93" s="95"/>
      <c r="M93" s="95">
        <f t="shared" si="15"/>
        <v>0.50960000000000005</v>
      </c>
      <c r="N93" s="64">
        <f t="shared" ref="N93:N156" si="18">H93*0.05</f>
        <v>0</v>
      </c>
      <c r="O93" s="64"/>
      <c r="P93" s="95">
        <f t="shared" si="16"/>
        <v>0.50960000000000005</v>
      </c>
      <c r="Q93" s="64"/>
      <c r="R93" s="95">
        <f t="shared" si="17"/>
        <v>0</v>
      </c>
      <c r="S93" s="64"/>
    </row>
    <row r="94" spans="1:40" x14ac:dyDescent="0.2">
      <c r="A94" s="189">
        <v>50</v>
      </c>
      <c r="B94" s="144">
        <v>34</v>
      </c>
      <c r="C94" s="137" t="s">
        <v>698</v>
      </c>
      <c r="D94" s="141">
        <v>45412</v>
      </c>
      <c r="E94" s="2" t="s">
        <v>632</v>
      </c>
      <c r="F94" s="146" t="s">
        <v>633</v>
      </c>
      <c r="G94" s="147">
        <v>81793146560</v>
      </c>
      <c r="H94" s="74"/>
      <c r="I94" s="74"/>
      <c r="J94" s="113">
        <v>7.96</v>
      </c>
      <c r="K94" s="100">
        <f t="shared" si="14"/>
        <v>9.9499999999999993</v>
      </c>
      <c r="L94" s="95"/>
      <c r="M94" s="95">
        <f t="shared" si="15"/>
        <v>1.99</v>
      </c>
      <c r="N94" s="64">
        <f t="shared" si="18"/>
        <v>0</v>
      </c>
      <c r="O94" s="64"/>
      <c r="P94" s="95">
        <f t="shared" si="16"/>
        <v>0</v>
      </c>
      <c r="Q94" s="64"/>
      <c r="R94" s="95">
        <f t="shared" si="17"/>
        <v>1.99</v>
      </c>
      <c r="S94" s="64"/>
    </row>
    <row r="95" spans="1:40" x14ac:dyDescent="0.2">
      <c r="A95" s="189">
        <v>51</v>
      </c>
      <c r="B95" s="144">
        <v>35</v>
      </c>
      <c r="C95" s="137" t="s">
        <v>621</v>
      </c>
      <c r="D95" s="141">
        <v>45412</v>
      </c>
      <c r="E95" s="2" t="s">
        <v>608</v>
      </c>
      <c r="F95" s="98" t="s">
        <v>609</v>
      </c>
      <c r="G95" s="99">
        <v>43965974818</v>
      </c>
      <c r="H95" s="74"/>
      <c r="I95" s="74">
        <v>2.52</v>
      </c>
      <c r="J95" s="113"/>
      <c r="K95" s="100">
        <f>H95+I95+J95+M95</f>
        <v>2.8475999999999999</v>
      </c>
      <c r="L95" s="95"/>
      <c r="M95" s="95">
        <f>SUM(N95:S95)</f>
        <v>0.3276</v>
      </c>
      <c r="N95" s="64">
        <f t="shared" si="18"/>
        <v>0</v>
      </c>
      <c r="O95" s="64"/>
      <c r="P95" s="95">
        <f>+I95*0.13</f>
        <v>0.3276</v>
      </c>
      <c r="Q95" s="64"/>
      <c r="R95" s="95">
        <f>J95*0.25</f>
        <v>0</v>
      </c>
      <c r="S95" s="64"/>
    </row>
    <row r="96" spans="1:40" x14ac:dyDescent="0.2">
      <c r="A96" s="189">
        <v>52</v>
      </c>
      <c r="B96" s="144">
        <v>36</v>
      </c>
      <c r="C96" s="137" t="s">
        <v>623</v>
      </c>
      <c r="D96" s="141">
        <v>45412</v>
      </c>
      <c r="E96" s="2" t="s">
        <v>608</v>
      </c>
      <c r="F96" s="98" t="s">
        <v>609</v>
      </c>
      <c r="G96" s="99">
        <v>43965974818</v>
      </c>
      <c r="H96" s="74"/>
      <c r="I96" s="74">
        <v>2.52</v>
      </c>
      <c r="J96" s="113"/>
      <c r="K96" s="100">
        <f t="shared" si="14"/>
        <v>2.8475999999999999</v>
      </c>
      <c r="L96" s="95"/>
      <c r="M96" s="95">
        <f t="shared" si="15"/>
        <v>0.3276</v>
      </c>
      <c r="N96" s="64">
        <f t="shared" si="18"/>
        <v>0</v>
      </c>
      <c r="O96" s="64"/>
      <c r="P96" s="95">
        <f t="shared" si="16"/>
        <v>0.3276</v>
      </c>
      <c r="Q96" s="64"/>
      <c r="R96" s="95">
        <f t="shared" si="17"/>
        <v>0</v>
      </c>
      <c r="S96" s="64"/>
    </row>
    <row r="97" spans="1:19" x14ac:dyDescent="0.2">
      <c r="A97" s="189">
        <v>53</v>
      </c>
      <c r="B97" s="144">
        <v>37</v>
      </c>
      <c r="C97" s="137" t="s">
        <v>622</v>
      </c>
      <c r="D97" s="141">
        <v>45412</v>
      </c>
      <c r="E97" s="2" t="s">
        <v>608</v>
      </c>
      <c r="F97" s="98" t="s">
        <v>609</v>
      </c>
      <c r="G97" s="99">
        <v>43965974818</v>
      </c>
      <c r="H97" s="74"/>
      <c r="I97" s="74">
        <v>2.52</v>
      </c>
      <c r="J97" s="113"/>
      <c r="K97" s="100">
        <f>H97+I97+J97+M97</f>
        <v>2.8475999999999999</v>
      </c>
      <c r="L97" s="95"/>
      <c r="M97" s="95">
        <f>SUM(N97:S97)</f>
        <v>0.3276</v>
      </c>
      <c r="N97" s="64">
        <f t="shared" si="18"/>
        <v>0</v>
      </c>
      <c r="O97" s="64"/>
      <c r="P97" s="95">
        <f>+I97*0.13</f>
        <v>0.3276</v>
      </c>
      <c r="Q97" s="64"/>
      <c r="R97" s="95">
        <f>J97*0.25</f>
        <v>0</v>
      </c>
      <c r="S97" s="64"/>
    </row>
    <row r="98" spans="1:19" x14ac:dyDescent="0.2">
      <c r="A98" s="189">
        <v>54</v>
      </c>
      <c r="B98" s="144">
        <v>38</v>
      </c>
      <c r="C98" s="137" t="s">
        <v>634</v>
      </c>
      <c r="D98" s="141">
        <v>45412</v>
      </c>
      <c r="E98" s="2" t="s">
        <v>608</v>
      </c>
      <c r="F98" s="98" t="s">
        <v>609</v>
      </c>
      <c r="G98" s="99">
        <v>43965974818</v>
      </c>
      <c r="H98" s="74"/>
      <c r="I98" s="74">
        <v>2.52</v>
      </c>
      <c r="J98" s="113"/>
      <c r="K98" s="100">
        <f>H98+I98+J98+M98</f>
        <v>2.8475999999999999</v>
      </c>
      <c r="L98" s="95"/>
      <c r="M98" s="95">
        <f>SUM(N98:S98)</f>
        <v>0.3276</v>
      </c>
      <c r="N98" s="64">
        <f t="shared" si="18"/>
        <v>0</v>
      </c>
      <c r="O98" s="64"/>
      <c r="P98" s="95">
        <f>+I98*0.13</f>
        <v>0.3276</v>
      </c>
      <c r="Q98" s="64"/>
      <c r="R98" s="95">
        <f>J98*0.25</f>
        <v>0</v>
      </c>
      <c r="S98" s="64"/>
    </row>
    <row r="99" spans="1:19" x14ac:dyDescent="0.2">
      <c r="A99" s="189">
        <v>55</v>
      </c>
      <c r="B99" s="144">
        <v>39</v>
      </c>
      <c r="C99" s="137" t="s">
        <v>699</v>
      </c>
      <c r="D99" s="141">
        <v>45412</v>
      </c>
      <c r="E99" s="2" t="s">
        <v>587</v>
      </c>
      <c r="F99" s="98" t="s">
        <v>607</v>
      </c>
      <c r="G99" s="99">
        <v>51260824290</v>
      </c>
      <c r="H99" s="74"/>
      <c r="I99" s="74">
        <v>3.32</v>
      </c>
      <c r="J99" s="113"/>
      <c r="K99" s="100">
        <f>H99+I99+J99+M99</f>
        <v>3.7515999999999998</v>
      </c>
      <c r="L99" s="95"/>
      <c r="M99" s="95">
        <f>SUM(N99:S99)</f>
        <v>0.43159999999999998</v>
      </c>
      <c r="N99" s="64">
        <f t="shared" si="18"/>
        <v>0</v>
      </c>
      <c r="O99" s="64"/>
      <c r="P99" s="95">
        <f>+I99*0.13</f>
        <v>0.43159999999999998</v>
      </c>
      <c r="Q99" s="64"/>
      <c r="R99" s="95">
        <f>J99*0.25</f>
        <v>0</v>
      </c>
      <c r="S99" s="64"/>
    </row>
    <row r="100" spans="1:19" x14ac:dyDescent="0.2">
      <c r="A100" s="189">
        <v>56</v>
      </c>
      <c r="B100" s="144">
        <v>40</v>
      </c>
      <c r="C100" s="137" t="s">
        <v>700</v>
      </c>
      <c r="D100" s="141">
        <v>45412</v>
      </c>
      <c r="E100" s="2" t="s">
        <v>587</v>
      </c>
      <c r="F100" s="98" t="s">
        <v>607</v>
      </c>
      <c r="G100" s="99">
        <v>51260824290</v>
      </c>
      <c r="H100" s="74"/>
      <c r="I100" s="74">
        <v>3.32</v>
      </c>
      <c r="J100" s="113"/>
      <c r="K100" s="100">
        <f>H100+I100+J100+M100</f>
        <v>3.7515999999999998</v>
      </c>
      <c r="L100" s="95"/>
      <c r="M100" s="95">
        <f>SUM(N100:S100)</f>
        <v>0.43159999999999998</v>
      </c>
      <c r="N100" s="64">
        <f t="shared" si="18"/>
        <v>0</v>
      </c>
      <c r="O100" s="64"/>
      <c r="P100" s="95">
        <f>+I100*0.13</f>
        <v>0.43159999999999998</v>
      </c>
      <c r="Q100" s="64"/>
      <c r="R100" s="95">
        <f>J100*0.25</f>
        <v>0</v>
      </c>
      <c r="S100" s="64"/>
    </row>
    <row r="101" spans="1:19" x14ac:dyDescent="0.2">
      <c r="A101" s="189">
        <v>57</v>
      </c>
      <c r="B101" s="144">
        <v>41</v>
      </c>
      <c r="C101" s="137" t="s">
        <v>701</v>
      </c>
      <c r="D101" s="141">
        <v>45412</v>
      </c>
      <c r="E101" s="145" t="s">
        <v>587</v>
      </c>
      <c r="F101" s="146" t="s">
        <v>607</v>
      </c>
      <c r="G101" s="147">
        <v>51260824290</v>
      </c>
      <c r="H101" s="74"/>
      <c r="I101" s="74">
        <v>3.32</v>
      </c>
      <c r="J101" s="113"/>
      <c r="K101" s="100">
        <f>H101+I101+J101+M101</f>
        <v>3.7515999999999998</v>
      </c>
      <c r="L101" s="95"/>
      <c r="M101" s="95">
        <f>SUM(N101:S101)</f>
        <v>0.43159999999999998</v>
      </c>
      <c r="N101" s="64">
        <f t="shared" si="18"/>
        <v>0</v>
      </c>
      <c r="O101" s="64"/>
      <c r="P101" s="95">
        <f>+I101*0.13</f>
        <v>0.43159999999999998</v>
      </c>
      <c r="Q101" s="64"/>
      <c r="R101" s="95">
        <f>J101*0.25</f>
        <v>0</v>
      </c>
      <c r="S101" s="64"/>
    </row>
    <row r="102" spans="1:19" ht="13.5" thickBot="1" x14ac:dyDescent="0.25">
      <c r="A102" s="189">
        <v>58</v>
      </c>
      <c r="B102" s="173">
        <v>42</v>
      </c>
      <c r="C102" s="174" t="s">
        <v>699</v>
      </c>
      <c r="D102" s="175">
        <v>45412</v>
      </c>
      <c r="E102" s="145" t="s">
        <v>588</v>
      </c>
      <c r="F102" s="176" t="s">
        <v>595</v>
      </c>
      <c r="G102" s="147">
        <v>77465071491</v>
      </c>
      <c r="H102" s="74"/>
      <c r="I102" s="74">
        <v>15.93</v>
      </c>
      <c r="J102" s="113"/>
      <c r="K102" s="100">
        <f t="shared" ref="K102:K108" si="19">H102+I102+J102+M102</f>
        <v>18.000900000000001</v>
      </c>
      <c r="L102" s="95"/>
      <c r="M102" s="95">
        <f t="shared" ref="M102:M108" si="20">SUM(N102:S102)</f>
        <v>2.0709</v>
      </c>
      <c r="N102" s="64">
        <f t="shared" si="18"/>
        <v>0</v>
      </c>
      <c r="O102" s="64"/>
      <c r="P102" s="95">
        <f t="shared" ref="P102:P108" si="21">+I102*0.13</f>
        <v>2.0709</v>
      </c>
      <c r="Q102" s="64"/>
      <c r="R102" s="95">
        <f t="shared" ref="R102:R108" si="22">J102*0.25</f>
        <v>0</v>
      </c>
      <c r="S102" s="64"/>
    </row>
    <row r="103" spans="1:19" x14ac:dyDescent="0.2">
      <c r="A103" s="193">
        <v>59</v>
      </c>
      <c r="B103" s="142">
        <v>43</v>
      </c>
      <c r="C103" s="143" t="s">
        <v>702</v>
      </c>
      <c r="D103" s="150">
        <v>45414</v>
      </c>
      <c r="E103" s="151" t="s">
        <v>589</v>
      </c>
      <c r="F103" s="151" t="s">
        <v>594</v>
      </c>
      <c r="G103" s="153">
        <v>26618043061</v>
      </c>
      <c r="H103" s="74"/>
      <c r="I103" s="74"/>
      <c r="J103" s="113">
        <v>50</v>
      </c>
      <c r="K103" s="100">
        <f t="shared" si="19"/>
        <v>62.5</v>
      </c>
      <c r="L103" s="95"/>
      <c r="M103" s="95">
        <f t="shared" si="20"/>
        <v>12.5</v>
      </c>
      <c r="N103" s="64">
        <f t="shared" si="18"/>
        <v>0</v>
      </c>
      <c r="O103" s="64"/>
      <c r="P103" s="95">
        <f t="shared" si="21"/>
        <v>0</v>
      </c>
      <c r="Q103" s="64"/>
      <c r="R103" s="95">
        <f t="shared" si="22"/>
        <v>12.5</v>
      </c>
      <c r="S103" s="64"/>
    </row>
    <row r="104" spans="1:19" x14ac:dyDescent="0.2">
      <c r="A104" s="190">
        <v>65</v>
      </c>
      <c r="B104" s="144">
        <v>44</v>
      </c>
      <c r="C104" s="137" t="s">
        <v>717</v>
      </c>
      <c r="D104" s="141">
        <v>45443</v>
      </c>
      <c r="E104" s="2" t="s">
        <v>632</v>
      </c>
      <c r="F104" s="146" t="s">
        <v>633</v>
      </c>
      <c r="G104" s="147">
        <v>81793146560</v>
      </c>
      <c r="H104" s="74"/>
      <c r="I104" s="74"/>
      <c r="J104" s="113">
        <v>26.64</v>
      </c>
      <c r="K104" s="100">
        <f t="shared" si="19"/>
        <v>33.299999999999997</v>
      </c>
      <c r="L104" s="95"/>
      <c r="M104" s="95">
        <f t="shared" si="20"/>
        <v>6.66</v>
      </c>
      <c r="N104" s="64">
        <f t="shared" si="18"/>
        <v>0</v>
      </c>
      <c r="O104" s="64"/>
      <c r="P104" s="95">
        <f t="shared" si="21"/>
        <v>0</v>
      </c>
      <c r="Q104" s="64"/>
      <c r="R104" s="95">
        <f t="shared" si="22"/>
        <v>6.66</v>
      </c>
      <c r="S104" s="64"/>
    </row>
    <row r="105" spans="1:19" x14ac:dyDescent="0.2">
      <c r="A105" s="190">
        <v>66</v>
      </c>
      <c r="B105" s="144">
        <v>45</v>
      </c>
      <c r="C105" s="137" t="s">
        <v>622</v>
      </c>
      <c r="D105" s="141">
        <v>45443</v>
      </c>
      <c r="E105" s="2" t="s">
        <v>608</v>
      </c>
      <c r="F105" s="98" t="s">
        <v>609</v>
      </c>
      <c r="G105" s="99">
        <v>43965974818</v>
      </c>
      <c r="H105" s="74"/>
      <c r="I105" s="74">
        <v>4.3899999999999997</v>
      </c>
      <c r="J105" s="113"/>
      <c r="K105" s="100">
        <f t="shared" si="19"/>
        <v>4.9606999999999992</v>
      </c>
      <c r="L105" s="95"/>
      <c r="M105" s="95">
        <f t="shared" si="20"/>
        <v>0.57069999999999999</v>
      </c>
      <c r="N105" s="64">
        <f t="shared" si="18"/>
        <v>0</v>
      </c>
      <c r="O105" s="64"/>
      <c r="P105" s="95">
        <f t="shared" si="21"/>
        <v>0.57069999999999999</v>
      </c>
      <c r="Q105" s="64"/>
      <c r="R105" s="95">
        <f t="shared" si="22"/>
        <v>0</v>
      </c>
      <c r="S105" s="64"/>
    </row>
    <row r="106" spans="1:19" x14ac:dyDescent="0.2">
      <c r="A106" s="190">
        <v>67</v>
      </c>
      <c r="B106" s="144">
        <v>46</v>
      </c>
      <c r="C106" s="137" t="s">
        <v>634</v>
      </c>
      <c r="D106" s="141">
        <v>45443</v>
      </c>
      <c r="E106" s="2" t="s">
        <v>608</v>
      </c>
      <c r="F106" s="98" t="s">
        <v>609</v>
      </c>
      <c r="G106" s="99">
        <v>43965974818</v>
      </c>
      <c r="H106" s="74"/>
      <c r="I106" s="74">
        <v>9.2799999999999994</v>
      </c>
      <c r="J106" s="113"/>
      <c r="K106" s="100">
        <f t="shared" si="19"/>
        <v>10.4864</v>
      </c>
      <c r="L106" s="95"/>
      <c r="M106" s="95">
        <f t="shared" si="20"/>
        <v>1.2063999999999999</v>
      </c>
      <c r="N106" s="64">
        <f t="shared" si="18"/>
        <v>0</v>
      </c>
      <c r="O106" s="64"/>
      <c r="P106" s="95">
        <f t="shared" si="21"/>
        <v>1.2063999999999999</v>
      </c>
      <c r="Q106" s="64"/>
      <c r="R106" s="95">
        <f t="shared" si="22"/>
        <v>0</v>
      </c>
      <c r="S106" s="64"/>
    </row>
    <row r="107" spans="1:19" x14ac:dyDescent="0.2">
      <c r="A107" s="190">
        <v>68</v>
      </c>
      <c r="B107" s="144">
        <v>47</v>
      </c>
      <c r="C107" s="137" t="s">
        <v>621</v>
      </c>
      <c r="D107" s="141">
        <v>45443</v>
      </c>
      <c r="E107" s="2" t="s">
        <v>608</v>
      </c>
      <c r="F107" s="98" t="s">
        <v>609</v>
      </c>
      <c r="G107" s="99">
        <v>43965974818</v>
      </c>
      <c r="H107" s="74"/>
      <c r="I107" s="74">
        <v>4.9000000000000004</v>
      </c>
      <c r="J107" s="113"/>
      <c r="K107" s="100">
        <f t="shared" si="19"/>
        <v>5.5370000000000008</v>
      </c>
      <c r="L107" s="95"/>
      <c r="M107" s="95">
        <f t="shared" si="20"/>
        <v>0.63700000000000012</v>
      </c>
      <c r="N107" s="64">
        <f t="shared" si="18"/>
        <v>0</v>
      </c>
      <c r="O107" s="64"/>
      <c r="P107" s="95">
        <f t="shared" si="21"/>
        <v>0.63700000000000012</v>
      </c>
      <c r="Q107" s="64"/>
      <c r="R107" s="95">
        <f t="shared" si="22"/>
        <v>0</v>
      </c>
      <c r="S107" s="64"/>
    </row>
    <row r="108" spans="1:19" x14ac:dyDescent="0.2">
      <c r="A108" s="190">
        <v>69</v>
      </c>
      <c r="B108" s="144">
        <v>48</v>
      </c>
      <c r="C108" s="137" t="s">
        <v>623</v>
      </c>
      <c r="D108" s="141">
        <v>45443</v>
      </c>
      <c r="E108" s="2" t="s">
        <v>608</v>
      </c>
      <c r="F108" s="98" t="s">
        <v>609</v>
      </c>
      <c r="G108" s="99">
        <v>43965974818</v>
      </c>
      <c r="H108" s="74"/>
      <c r="I108" s="74">
        <v>5.12</v>
      </c>
      <c r="J108" s="113"/>
      <c r="K108" s="100">
        <f t="shared" si="19"/>
        <v>5.7856000000000005</v>
      </c>
      <c r="L108" s="95"/>
      <c r="M108" s="95">
        <f t="shared" si="20"/>
        <v>0.66560000000000008</v>
      </c>
      <c r="N108" s="64">
        <f t="shared" si="18"/>
        <v>0</v>
      </c>
      <c r="O108" s="64"/>
      <c r="P108" s="95">
        <f t="shared" si="21"/>
        <v>0.66560000000000008</v>
      </c>
      <c r="Q108" s="64"/>
      <c r="R108" s="95">
        <f t="shared" si="22"/>
        <v>0</v>
      </c>
      <c r="S108" s="64"/>
    </row>
    <row r="109" spans="1:19" x14ac:dyDescent="0.2">
      <c r="A109" s="190">
        <v>70</v>
      </c>
      <c r="B109" s="144">
        <v>49</v>
      </c>
      <c r="C109" s="137" t="s">
        <v>718</v>
      </c>
      <c r="D109" s="141">
        <v>45443</v>
      </c>
      <c r="E109" s="2" t="s">
        <v>589</v>
      </c>
      <c r="F109" s="2" t="s">
        <v>594</v>
      </c>
      <c r="G109" s="99">
        <v>26618043061</v>
      </c>
      <c r="H109" s="74"/>
      <c r="I109" s="74"/>
      <c r="J109" s="113">
        <v>50</v>
      </c>
      <c r="K109" s="100">
        <f t="shared" ref="K109:K114" si="23">H109+I109+J109+M109</f>
        <v>62.5</v>
      </c>
      <c r="L109" s="95"/>
      <c r="M109" s="95">
        <f t="shared" ref="M109:M114" si="24">SUM(N109:S109)</f>
        <v>12.5</v>
      </c>
      <c r="N109" s="64">
        <f t="shared" si="18"/>
        <v>0</v>
      </c>
      <c r="O109" s="64"/>
      <c r="P109" s="95">
        <f t="shared" ref="P109:P114" si="25">+I109*0.13</f>
        <v>0</v>
      </c>
      <c r="Q109" s="64"/>
      <c r="R109" s="95">
        <f t="shared" ref="R109:R114" si="26">J109*0.25</f>
        <v>12.5</v>
      </c>
      <c r="S109" s="64"/>
    </row>
    <row r="110" spans="1:19" x14ac:dyDescent="0.2">
      <c r="A110" s="190">
        <v>71</v>
      </c>
      <c r="B110" s="144">
        <v>50</v>
      </c>
      <c r="C110" s="137" t="s">
        <v>719</v>
      </c>
      <c r="D110" s="141">
        <v>45443</v>
      </c>
      <c r="E110" s="145" t="s">
        <v>588</v>
      </c>
      <c r="F110" s="176" t="s">
        <v>595</v>
      </c>
      <c r="G110" s="147">
        <v>77465071491</v>
      </c>
      <c r="H110" s="74"/>
      <c r="I110" s="74">
        <v>15.93</v>
      </c>
      <c r="J110" s="113"/>
      <c r="K110" s="100">
        <f t="shared" si="23"/>
        <v>18.000900000000001</v>
      </c>
      <c r="L110" s="95"/>
      <c r="M110" s="95">
        <f t="shared" si="24"/>
        <v>2.0709</v>
      </c>
      <c r="N110" s="64">
        <f t="shared" si="18"/>
        <v>0</v>
      </c>
      <c r="O110" s="64"/>
      <c r="P110" s="95">
        <f t="shared" si="25"/>
        <v>2.0709</v>
      </c>
      <c r="Q110" s="64"/>
      <c r="R110" s="95">
        <f t="shared" si="26"/>
        <v>0</v>
      </c>
      <c r="S110" s="64"/>
    </row>
    <row r="111" spans="1:19" ht="13.5" thickBot="1" x14ac:dyDescent="0.25">
      <c r="A111" s="192">
        <v>72</v>
      </c>
      <c r="B111" s="168">
        <v>51</v>
      </c>
      <c r="C111" s="169" t="s">
        <v>719</v>
      </c>
      <c r="D111" s="170">
        <v>45443</v>
      </c>
      <c r="E111" s="160" t="s">
        <v>587</v>
      </c>
      <c r="F111" s="185" t="s">
        <v>607</v>
      </c>
      <c r="G111" s="161">
        <v>51260824290</v>
      </c>
      <c r="H111" s="74"/>
      <c r="I111" s="74">
        <v>3.32</v>
      </c>
      <c r="J111" s="113"/>
      <c r="K111" s="100">
        <f t="shared" si="23"/>
        <v>3.7515999999999998</v>
      </c>
      <c r="L111" s="95"/>
      <c r="M111" s="95">
        <f t="shared" si="24"/>
        <v>0.43159999999999998</v>
      </c>
      <c r="N111" s="64">
        <f t="shared" si="18"/>
        <v>0</v>
      </c>
      <c r="O111" s="64"/>
      <c r="P111" s="95">
        <f t="shared" si="25"/>
        <v>0.43159999999999998</v>
      </c>
      <c r="Q111" s="64"/>
      <c r="R111" s="95">
        <f t="shared" si="26"/>
        <v>0</v>
      </c>
      <c r="S111" s="64"/>
    </row>
    <row r="112" spans="1:19" x14ac:dyDescent="0.2">
      <c r="A112" s="190">
        <v>74</v>
      </c>
      <c r="B112" s="144">
        <v>52</v>
      </c>
      <c r="C112" s="137" t="s">
        <v>731</v>
      </c>
      <c r="D112" s="141">
        <v>45469</v>
      </c>
      <c r="E112" s="154" t="s">
        <v>732</v>
      </c>
      <c r="F112" s="155" t="s">
        <v>733</v>
      </c>
      <c r="G112" s="156">
        <v>97890428234</v>
      </c>
      <c r="H112" s="74"/>
      <c r="I112" s="74"/>
      <c r="J112" s="113">
        <v>17.559999999999999</v>
      </c>
      <c r="K112" s="100">
        <f t="shared" si="23"/>
        <v>21.95</v>
      </c>
      <c r="L112" s="95"/>
      <c r="M112" s="95">
        <f t="shared" si="24"/>
        <v>4.3899999999999997</v>
      </c>
      <c r="N112" s="64">
        <f t="shared" si="18"/>
        <v>0</v>
      </c>
      <c r="O112" s="64"/>
      <c r="P112" s="95">
        <f t="shared" si="25"/>
        <v>0</v>
      </c>
      <c r="Q112" s="64"/>
      <c r="R112" s="95">
        <f t="shared" si="26"/>
        <v>4.3899999999999997</v>
      </c>
      <c r="S112" s="64"/>
    </row>
    <row r="113" spans="1:19" ht="13.5" thickBot="1" x14ac:dyDescent="0.25">
      <c r="A113" s="190">
        <v>75</v>
      </c>
      <c r="B113" s="173">
        <v>53</v>
      </c>
      <c r="C113" s="174" t="s">
        <v>734</v>
      </c>
      <c r="D113" s="175">
        <v>45473</v>
      </c>
      <c r="E113" s="194" t="s">
        <v>735</v>
      </c>
      <c r="F113" s="195" t="s">
        <v>736</v>
      </c>
      <c r="G113" s="196">
        <v>93476448836</v>
      </c>
      <c r="H113" s="74"/>
      <c r="I113" s="74"/>
      <c r="J113" s="113">
        <v>356.4</v>
      </c>
      <c r="K113" s="100">
        <f t="shared" si="23"/>
        <v>445.5</v>
      </c>
      <c r="L113" s="95"/>
      <c r="M113" s="95">
        <f t="shared" si="24"/>
        <v>89.1</v>
      </c>
      <c r="N113" s="64">
        <f t="shared" si="18"/>
        <v>0</v>
      </c>
      <c r="O113" s="64"/>
      <c r="P113" s="95">
        <f t="shared" si="25"/>
        <v>0</v>
      </c>
      <c r="Q113" s="64"/>
      <c r="R113" s="95">
        <f t="shared" si="26"/>
        <v>89.1</v>
      </c>
      <c r="S113" s="64"/>
    </row>
    <row r="114" spans="1:19" x14ac:dyDescent="0.2">
      <c r="A114" s="120">
        <v>0</v>
      </c>
      <c r="B114" s="142">
        <v>0</v>
      </c>
      <c r="C114" s="143"/>
      <c r="D114" s="150"/>
      <c r="E114" s="151"/>
      <c r="F114" s="152"/>
      <c r="G114" s="153"/>
      <c r="H114" s="74"/>
      <c r="I114" s="74"/>
      <c r="J114" s="113"/>
      <c r="K114" s="100">
        <f t="shared" si="23"/>
        <v>0</v>
      </c>
      <c r="L114" s="95"/>
      <c r="M114" s="95">
        <f t="shared" si="24"/>
        <v>0</v>
      </c>
      <c r="N114" s="64">
        <f t="shared" si="18"/>
        <v>0</v>
      </c>
      <c r="O114" s="64"/>
      <c r="P114" s="95">
        <f t="shared" si="25"/>
        <v>0</v>
      </c>
      <c r="Q114" s="64"/>
      <c r="R114" s="95">
        <f t="shared" si="26"/>
        <v>0</v>
      </c>
      <c r="S114" s="64"/>
    </row>
    <row r="115" spans="1:19" x14ac:dyDescent="0.2">
      <c r="A115" s="1">
        <v>0</v>
      </c>
      <c r="B115" s="319" t="s">
        <v>737</v>
      </c>
      <c r="C115" s="320"/>
      <c r="D115" s="320"/>
      <c r="E115" s="320"/>
      <c r="F115" s="321"/>
      <c r="G115" s="156"/>
      <c r="H115" s="74"/>
      <c r="I115" s="74"/>
      <c r="J115" s="113"/>
      <c r="K115" s="100">
        <f t="shared" ref="K115:K132" si="27">H115+I115+J115+M115</f>
        <v>0</v>
      </c>
      <c r="L115" s="95"/>
      <c r="M115" s="95">
        <f t="shared" ref="M115:M132" si="28">SUM(N115:S115)</f>
        <v>0</v>
      </c>
      <c r="N115" s="64">
        <f t="shared" si="18"/>
        <v>0</v>
      </c>
      <c r="O115" s="64"/>
      <c r="P115" s="95">
        <f t="shared" ref="P115:P132" si="29">+I115*0.13</f>
        <v>0</v>
      </c>
      <c r="Q115" s="64"/>
      <c r="R115" s="95">
        <f t="shared" ref="R115:R132" si="30">J115*0.25</f>
        <v>0</v>
      </c>
      <c r="S115" s="64"/>
    </row>
    <row r="116" spans="1:19" ht="13.5" thickBot="1" x14ac:dyDescent="0.25">
      <c r="A116" s="1">
        <v>0</v>
      </c>
      <c r="B116" s="173">
        <v>0</v>
      </c>
      <c r="C116" s="174"/>
      <c r="D116" s="175"/>
      <c r="E116" s="194"/>
      <c r="F116" s="195"/>
      <c r="G116" s="196"/>
      <c r="H116" s="74"/>
      <c r="I116" s="74"/>
      <c r="J116" s="113"/>
      <c r="K116" s="100">
        <f t="shared" si="27"/>
        <v>0</v>
      </c>
      <c r="L116" s="95"/>
      <c r="M116" s="95">
        <f t="shared" si="28"/>
        <v>0</v>
      </c>
      <c r="N116" s="64">
        <f t="shared" si="18"/>
        <v>0</v>
      </c>
      <c r="O116" s="64"/>
      <c r="P116" s="95">
        <f t="shared" si="29"/>
        <v>0</v>
      </c>
      <c r="Q116" s="64"/>
      <c r="R116" s="95">
        <f t="shared" si="30"/>
        <v>0</v>
      </c>
      <c r="S116" s="64"/>
    </row>
    <row r="117" spans="1:19" x14ac:dyDescent="0.2">
      <c r="A117" s="188">
        <v>76</v>
      </c>
      <c r="B117" s="142">
        <v>54</v>
      </c>
      <c r="C117" s="143" t="s">
        <v>719</v>
      </c>
      <c r="D117" s="150">
        <v>45443</v>
      </c>
      <c r="E117" s="151" t="s">
        <v>588</v>
      </c>
      <c r="F117" s="197" t="s">
        <v>595</v>
      </c>
      <c r="G117" s="153">
        <v>77465071491</v>
      </c>
      <c r="H117" s="74"/>
      <c r="I117" s="74">
        <v>15.93</v>
      </c>
      <c r="J117" s="113"/>
      <c r="K117" s="100">
        <f t="shared" si="27"/>
        <v>18.000900000000001</v>
      </c>
      <c r="L117" s="95"/>
      <c r="M117" s="95">
        <f t="shared" si="28"/>
        <v>2.0709</v>
      </c>
      <c r="N117" s="64">
        <f t="shared" si="18"/>
        <v>0</v>
      </c>
      <c r="O117" s="64"/>
      <c r="P117" s="95">
        <f t="shared" si="29"/>
        <v>2.0709</v>
      </c>
      <c r="Q117" s="64"/>
      <c r="R117" s="95">
        <f t="shared" si="30"/>
        <v>0</v>
      </c>
      <c r="S117" s="64"/>
    </row>
    <row r="118" spans="1:19" x14ac:dyDescent="0.2">
      <c r="A118" s="190">
        <v>77</v>
      </c>
      <c r="B118" s="144">
        <v>55</v>
      </c>
      <c r="C118" s="137" t="s">
        <v>738</v>
      </c>
      <c r="D118" s="141">
        <v>45443</v>
      </c>
      <c r="E118" s="2" t="s">
        <v>587</v>
      </c>
      <c r="F118" s="98" t="s">
        <v>607</v>
      </c>
      <c r="G118" s="99">
        <v>51260824290</v>
      </c>
      <c r="H118" s="74"/>
      <c r="I118" s="74">
        <v>3.32</v>
      </c>
      <c r="J118" s="113"/>
      <c r="K118" s="100">
        <f t="shared" si="27"/>
        <v>3.7515999999999998</v>
      </c>
      <c r="L118" s="95"/>
      <c r="M118" s="95">
        <f t="shared" si="28"/>
        <v>0.43159999999999998</v>
      </c>
      <c r="N118" s="64">
        <f t="shared" si="18"/>
        <v>0</v>
      </c>
      <c r="O118" s="64"/>
      <c r="P118" s="95">
        <f t="shared" si="29"/>
        <v>0.43159999999999998</v>
      </c>
      <c r="Q118" s="64"/>
      <c r="R118" s="95">
        <f t="shared" si="30"/>
        <v>0</v>
      </c>
      <c r="S118" s="64"/>
    </row>
    <row r="119" spans="1:19" x14ac:dyDescent="0.2">
      <c r="A119" s="190">
        <v>78</v>
      </c>
      <c r="B119" s="144">
        <v>56</v>
      </c>
      <c r="C119" s="137" t="s">
        <v>719</v>
      </c>
      <c r="D119" s="141">
        <v>45443</v>
      </c>
      <c r="E119" s="2" t="s">
        <v>587</v>
      </c>
      <c r="F119" s="98" t="s">
        <v>607</v>
      </c>
      <c r="G119" s="99">
        <v>51260824290</v>
      </c>
      <c r="H119" s="74"/>
      <c r="I119" s="74">
        <v>3.32</v>
      </c>
      <c r="J119" s="113"/>
      <c r="K119" s="100">
        <f t="shared" si="27"/>
        <v>3.7515999999999998</v>
      </c>
      <c r="L119" s="95"/>
      <c r="M119" s="95">
        <f t="shared" si="28"/>
        <v>0.43159999999999998</v>
      </c>
      <c r="N119" s="64">
        <f t="shared" si="18"/>
        <v>0</v>
      </c>
      <c r="O119" s="64"/>
      <c r="P119" s="95">
        <f t="shared" si="29"/>
        <v>0.43159999999999998</v>
      </c>
      <c r="Q119" s="64"/>
      <c r="R119" s="95">
        <f t="shared" si="30"/>
        <v>0</v>
      </c>
      <c r="S119" s="64"/>
    </row>
    <row r="120" spans="1:19" x14ac:dyDescent="0.2">
      <c r="A120" s="190">
        <v>79</v>
      </c>
      <c r="B120" s="144">
        <v>57</v>
      </c>
      <c r="C120" s="137" t="s">
        <v>739</v>
      </c>
      <c r="D120" s="141">
        <v>45443</v>
      </c>
      <c r="E120" s="145" t="s">
        <v>587</v>
      </c>
      <c r="F120" s="146" t="s">
        <v>607</v>
      </c>
      <c r="G120" s="147">
        <v>51260824290</v>
      </c>
      <c r="H120" s="74"/>
      <c r="I120" s="74">
        <v>3.32</v>
      </c>
      <c r="J120" s="113"/>
      <c r="K120" s="100">
        <f t="shared" si="27"/>
        <v>3.7515999999999998</v>
      </c>
      <c r="L120" s="95"/>
      <c r="M120" s="95">
        <f t="shared" si="28"/>
        <v>0.43159999999999998</v>
      </c>
      <c r="N120" s="64">
        <f t="shared" si="18"/>
        <v>0</v>
      </c>
      <c r="O120" s="64"/>
      <c r="P120" s="95">
        <f t="shared" si="29"/>
        <v>0.43159999999999998</v>
      </c>
      <c r="Q120" s="64"/>
      <c r="R120" s="95">
        <f t="shared" si="30"/>
        <v>0</v>
      </c>
      <c r="S120" s="64"/>
    </row>
    <row r="121" spans="1:19" x14ac:dyDescent="0.2">
      <c r="A121" s="190">
        <v>80</v>
      </c>
      <c r="B121" s="144">
        <v>58</v>
      </c>
      <c r="C121" s="137" t="s">
        <v>740</v>
      </c>
      <c r="D121" s="141">
        <v>45473</v>
      </c>
      <c r="E121" s="2" t="s">
        <v>589</v>
      </c>
      <c r="F121" s="2" t="s">
        <v>594</v>
      </c>
      <c r="G121" s="99">
        <v>26618043061</v>
      </c>
      <c r="H121" s="74"/>
      <c r="I121" s="74"/>
      <c r="J121" s="113">
        <v>50</v>
      </c>
      <c r="K121" s="100">
        <f t="shared" si="27"/>
        <v>62.5</v>
      </c>
      <c r="L121" s="95"/>
      <c r="M121" s="95">
        <f t="shared" si="28"/>
        <v>12.5</v>
      </c>
      <c r="N121" s="64">
        <f t="shared" si="18"/>
        <v>0</v>
      </c>
      <c r="O121" s="64"/>
      <c r="P121" s="95">
        <f t="shared" si="29"/>
        <v>0</v>
      </c>
      <c r="Q121" s="64"/>
      <c r="R121" s="95">
        <f t="shared" si="30"/>
        <v>12.5</v>
      </c>
      <c r="S121" s="64"/>
    </row>
    <row r="122" spans="1:19" x14ac:dyDescent="0.2">
      <c r="A122" s="190">
        <v>83</v>
      </c>
      <c r="B122" s="144">
        <v>59</v>
      </c>
      <c r="C122" s="137" t="s">
        <v>634</v>
      </c>
      <c r="D122" s="141">
        <v>45473</v>
      </c>
      <c r="E122" s="2" t="s">
        <v>608</v>
      </c>
      <c r="F122" s="98" t="s">
        <v>609</v>
      </c>
      <c r="G122" s="99">
        <v>43965974818</v>
      </c>
      <c r="H122" s="74"/>
      <c r="I122" s="74">
        <v>32.340000000000003</v>
      </c>
      <c r="J122" s="113"/>
      <c r="K122" s="100">
        <f t="shared" si="27"/>
        <v>36.544200000000004</v>
      </c>
      <c r="L122" s="95"/>
      <c r="M122" s="95">
        <f t="shared" si="28"/>
        <v>4.2042000000000002</v>
      </c>
      <c r="N122" s="64">
        <f t="shared" si="18"/>
        <v>0</v>
      </c>
      <c r="O122" s="64"/>
      <c r="P122" s="95">
        <f t="shared" si="29"/>
        <v>4.2042000000000002</v>
      </c>
      <c r="Q122" s="64"/>
      <c r="R122" s="95">
        <f t="shared" si="30"/>
        <v>0</v>
      </c>
      <c r="S122" s="64"/>
    </row>
    <row r="123" spans="1:19" x14ac:dyDescent="0.2">
      <c r="A123" s="190">
        <v>84</v>
      </c>
      <c r="B123" s="144">
        <v>60</v>
      </c>
      <c r="C123" s="137" t="s">
        <v>623</v>
      </c>
      <c r="D123" s="141">
        <v>45473</v>
      </c>
      <c r="E123" s="2" t="s">
        <v>608</v>
      </c>
      <c r="F123" s="98" t="s">
        <v>609</v>
      </c>
      <c r="G123" s="99">
        <v>43965974818</v>
      </c>
      <c r="H123" s="74"/>
      <c r="I123" s="74">
        <v>20.73</v>
      </c>
      <c r="J123" s="113"/>
      <c r="K123" s="100">
        <f t="shared" si="27"/>
        <v>23.424900000000001</v>
      </c>
      <c r="L123" s="95"/>
      <c r="M123" s="95">
        <f t="shared" si="28"/>
        <v>2.6949000000000001</v>
      </c>
      <c r="N123" s="64">
        <f t="shared" si="18"/>
        <v>0</v>
      </c>
      <c r="O123" s="64"/>
      <c r="P123" s="95">
        <f t="shared" si="29"/>
        <v>2.6949000000000001</v>
      </c>
      <c r="Q123" s="64"/>
      <c r="R123" s="95">
        <f t="shared" si="30"/>
        <v>0</v>
      </c>
      <c r="S123" s="64"/>
    </row>
    <row r="124" spans="1:19" x14ac:dyDescent="0.2">
      <c r="A124" s="190">
        <v>85</v>
      </c>
      <c r="B124" s="144">
        <v>61</v>
      </c>
      <c r="C124" s="137" t="s">
        <v>621</v>
      </c>
      <c r="D124" s="141">
        <v>45473</v>
      </c>
      <c r="E124" s="2" t="s">
        <v>608</v>
      </c>
      <c r="F124" s="98" t="s">
        <v>609</v>
      </c>
      <c r="G124" s="99">
        <v>43965974818</v>
      </c>
      <c r="H124" s="74"/>
      <c r="I124" s="74">
        <v>24.31</v>
      </c>
      <c r="J124" s="113"/>
      <c r="K124" s="100">
        <f t="shared" si="27"/>
        <v>27.470299999999998</v>
      </c>
      <c r="L124" s="95"/>
      <c r="M124" s="95">
        <f t="shared" si="28"/>
        <v>3.1602999999999999</v>
      </c>
      <c r="N124" s="64">
        <f t="shared" si="18"/>
        <v>0</v>
      </c>
      <c r="O124" s="64"/>
      <c r="P124" s="95">
        <f t="shared" si="29"/>
        <v>3.1602999999999999</v>
      </c>
      <c r="Q124" s="64"/>
      <c r="R124" s="95">
        <f t="shared" si="30"/>
        <v>0</v>
      </c>
      <c r="S124" s="64"/>
    </row>
    <row r="125" spans="1:19" x14ac:dyDescent="0.2">
      <c r="A125" s="190">
        <v>86</v>
      </c>
      <c r="B125" s="144">
        <v>62</v>
      </c>
      <c r="C125" s="137" t="s">
        <v>622</v>
      </c>
      <c r="D125" s="141">
        <v>45473</v>
      </c>
      <c r="E125" s="2" t="s">
        <v>608</v>
      </c>
      <c r="F125" s="98" t="s">
        <v>609</v>
      </c>
      <c r="G125" s="99">
        <v>43965974818</v>
      </c>
      <c r="H125" s="74"/>
      <c r="I125" s="74">
        <v>30.69</v>
      </c>
      <c r="J125" s="113"/>
      <c r="K125" s="100">
        <f t="shared" si="27"/>
        <v>34.679700000000004</v>
      </c>
      <c r="L125" s="95"/>
      <c r="M125" s="95">
        <f t="shared" si="28"/>
        <v>3.9897000000000005</v>
      </c>
      <c r="N125" s="64">
        <f t="shared" si="18"/>
        <v>0</v>
      </c>
      <c r="O125" s="64"/>
      <c r="P125" s="95">
        <f t="shared" si="29"/>
        <v>3.9897000000000005</v>
      </c>
      <c r="Q125" s="64"/>
      <c r="R125" s="95">
        <f t="shared" si="30"/>
        <v>0</v>
      </c>
      <c r="S125" s="64"/>
    </row>
    <row r="126" spans="1:19" x14ac:dyDescent="0.2">
      <c r="A126" s="190">
        <v>87</v>
      </c>
      <c r="B126" s="144">
        <v>63</v>
      </c>
      <c r="C126" s="137" t="s">
        <v>741</v>
      </c>
      <c r="D126" s="141">
        <v>45473</v>
      </c>
      <c r="E126" s="145" t="s">
        <v>588</v>
      </c>
      <c r="F126" s="176" t="s">
        <v>595</v>
      </c>
      <c r="G126" s="147">
        <v>77465071491</v>
      </c>
      <c r="H126" s="74"/>
      <c r="I126" s="74">
        <v>15.93</v>
      </c>
      <c r="J126" s="113"/>
      <c r="K126" s="100">
        <f t="shared" si="27"/>
        <v>18.000900000000001</v>
      </c>
      <c r="L126" s="95"/>
      <c r="M126" s="95">
        <f t="shared" si="28"/>
        <v>2.0709</v>
      </c>
      <c r="N126" s="64">
        <f t="shared" si="18"/>
        <v>0</v>
      </c>
      <c r="O126" s="64"/>
      <c r="P126" s="95">
        <f t="shared" si="29"/>
        <v>2.0709</v>
      </c>
      <c r="Q126" s="64"/>
      <c r="R126" s="95">
        <f t="shared" si="30"/>
        <v>0</v>
      </c>
      <c r="S126" s="64"/>
    </row>
    <row r="127" spans="1:19" x14ac:dyDescent="0.2">
      <c r="A127" s="190">
        <v>88</v>
      </c>
      <c r="B127" s="144">
        <v>64</v>
      </c>
      <c r="C127" s="137" t="s">
        <v>741</v>
      </c>
      <c r="D127" s="141">
        <v>45473</v>
      </c>
      <c r="E127" s="2" t="s">
        <v>587</v>
      </c>
      <c r="F127" s="98" t="s">
        <v>607</v>
      </c>
      <c r="G127" s="99">
        <v>51260824290</v>
      </c>
      <c r="H127" s="74"/>
      <c r="I127" s="74">
        <v>3.32</v>
      </c>
      <c r="J127" s="113"/>
      <c r="K127" s="100">
        <f t="shared" si="27"/>
        <v>3.7515999999999998</v>
      </c>
      <c r="L127" s="95"/>
      <c r="M127" s="95">
        <f t="shared" si="28"/>
        <v>0.43159999999999998</v>
      </c>
      <c r="N127" s="64">
        <f t="shared" si="18"/>
        <v>0</v>
      </c>
      <c r="O127" s="64"/>
      <c r="P127" s="95">
        <f t="shared" si="29"/>
        <v>0.43159999999999998</v>
      </c>
      <c r="Q127" s="64"/>
      <c r="R127" s="95">
        <f t="shared" si="30"/>
        <v>0</v>
      </c>
      <c r="S127" s="64"/>
    </row>
    <row r="128" spans="1:19" x14ac:dyDescent="0.2">
      <c r="A128" s="190">
        <v>89</v>
      </c>
      <c r="B128" s="144">
        <v>65</v>
      </c>
      <c r="C128" s="137" t="s">
        <v>742</v>
      </c>
      <c r="D128" s="141">
        <v>45473</v>
      </c>
      <c r="E128" s="2" t="s">
        <v>587</v>
      </c>
      <c r="F128" s="98" t="s">
        <v>607</v>
      </c>
      <c r="G128" s="99">
        <v>51260824290</v>
      </c>
      <c r="H128" s="74"/>
      <c r="I128" s="74">
        <v>3.32</v>
      </c>
      <c r="J128" s="113"/>
      <c r="K128" s="100">
        <f t="shared" si="27"/>
        <v>3.7515999999999998</v>
      </c>
      <c r="L128" s="95"/>
      <c r="M128" s="95">
        <f t="shared" si="28"/>
        <v>0.43159999999999998</v>
      </c>
      <c r="N128" s="64">
        <f t="shared" si="18"/>
        <v>0</v>
      </c>
      <c r="O128" s="64"/>
      <c r="P128" s="95">
        <f t="shared" si="29"/>
        <v>0.43159999999999998</v>
      </c>
      <c r="Q128" s="64"/>
      <c r="R128" s="95">
        <f t="shared" si="30"/>
        <v>0</v>
      </c>
      <c r="S128" s="64"/>
    </row>
    <row r="129" spans="1:19" x14ac:dyDescent="0.2">
      <c r="A129" s="190">
        <v>90</v>
      </c>
      <c r="B129" s="144">
        <v>66</v>
      </c>
      <c r="C129" s="137" t="s">
        <v>743</v>
      </c>
      <c r="D129" s="141">
        <v>45473</v>
      </c>
      <c r="E129" s="145" t="s">
        <v>587</v>
      </c>
      <c r="F129" s="146" t="s">
        <v>607</v>
      </c>
      <c r="G129" s="147">
        <v>51260824290</v>
      </c>
      <c r="H129" s="74"/>
      <c r="I129" s="74">
        <v>3.32</v>
      </c>
      <c r="J129" s="113"/>
      <c r="K129" s="100">
        <f t="shared" si="27"/>
        <v>3.7515999999999998</v>
      </c>
      <c r="L129" s="95"/>
      <c r="M129" s="95">
        <f t="shared" si="28"/>
        <v>0.43159999999999998</v>
      </c>
      <c r="N129" s="64">
        <f t="shared" si="18"/>
        <v>0</v>
      </c>
      <c r="O129" s="64"/>
      <c r="P129" s="95">
        <f t="shared" si="29"/>
        <v>0.43159999999999998</v>
      </c>
      <c r="Q129" s="64"/>
      <c r="R129" s="95">
        <f t="shared" si="30"/>
        <v>0</v>
      </c>
      <c r="S129" s="64"/>
    </row>
    <row r="130" spans="1:19" ht="13.5" thickBot="1" x14ac:dyDescent="0.25">
      <c r="A130" s="190">
        <v>91</v>
      </c>
      <c r="B130" s="173">
        <v>67</v>
      </c>
      <c r="C130" s="174" t="s">
        <v>744</v>
      </c>
      <c r="D130" s="175">
        <v>45473</v>
      </c>
      <c r="E130" s="2" t="s">
        <v>632</v>
      </c>
      <c r="F130" s="146" t="s">
        <v>633</v>
      </c>
      <c r="G130" s="147">
        <v>81793146560</v>
      </c>
      <c r="H130" s="74"/>
      <c r="I130" s="74"/>
      <c r="J130" s="113">
        <v>26.64</v>
      </c>
      <c r="K130" s="100">
        <f t="shared" si="27"/>
        <v>33.299999999999997</v>
      </c>
      <c r="L130" s="95"/>
      <c r="M130" s="95">
        <f t="shared" si="28"/>
        <v>6.66</v>
      </c>
      <c r="N130" s="64">
        <f t="shared" si="18"/>
        <v>0</v>
      </c>
      <c r="O130" s="64"/>
      <c r="P130" s="95">
        <f t="shared" si="29"/>
        <v>0</v>
      </c>
      <c r="Q130" s="64"/>
      <c r="R130" s="95">
        <f t="shared" si="30"/>
        <v>6.66</v>
      </c>
      <c r="S130" s="64"/>
    </row>
    <row r="131" spans="1:19" x14ac:dyDescent="0.2">
      <c r="A131" s="193">
        <v>93</v>
      </c>
      <c r="B131" s="142">
        <v>68</v>
      </c>
      <c r="C131" s="143" t="s">
        <v>746</v>
      </c>
      <c r="D131" s="150">
        <v>45478</v>
      </c>
      <c r="E131" s="130" t="s">
        <v>612</v>
      </c>
      <c r="F131" s="131" t="s">
        <v>613</v>
      </c>
      <c r="G131" s="132">
        <v>96860569005</v>
      </c>
      <c r="H131" s="74"/>
      <c r="I131" s="74"/>
      <c r="J131" s="113">
        <v>27</v>
      </c>
      <c r="K131" s="100">
        <f t="shared" si="27"/>
        <v>33.75</v>
      </c>
      <c r="L131" s="95"/>
      <c r="M131" s="95">
        <f t="shared" si="28"/>
        <v>6.75</v>
      </c>
      <c r="N131" s="64">
        <f t="shared" si="18"/>
        <v>0</v>
      </c>
      <c r="O131" s="64"/>
      <c r="P131" s="95">
        <f t="shared" si="29"/>
        <v>0</v>
      </c>
      <c r="Q131" s="64"/>
      <c r="R131" s="95">
        <f t="shared" si="30"/>
        <v>6.75</v>
      </c>
      <c r="S131" s="64"/>
    </row>
    <row r="132" spans="1:19" x14ac:dyDescent="0.2">
      <c r="A132" s="190">
        <v>94</v>
      </c>
      <c r="B132" s="144">
        <v>69</v>
      </c>
      <c r="C132" s="137" t="s">
        <v>747</v>
      </c>
      <c r="D132" s="141">
        <v>45487</v>
      </c>
      <c r="E132" s="2" t="s">
        <v>735</v>
      </c>
      <c r="F132" s="98" t="s">
        <v>736</v>
      </c>
      <c r="G132" s="99">
        <v>93476448836</v>
      </c>
      <c r="H132" s="74"/>
      <c r="I132" s="74"/>
      <c r="J132" s="113">
        <v>403.2</v>
      </c>
      <c r="K132" s="100">
        <f t="shared" si="27"/>
        <v>504</v>
      </c>
      <c r="L132" s="95"/>
      <c r="M132" s="95">
        <f t="shared" si="28"/>
        <v>100.8</v>
      </c>
      <c r="N132" s="64">
        <f t="shared" si="18"/>
        <v>0</v>
      </c>
      <c r="O132" s="64"/>
      <c r="P132" s="95">
        <f t="shared" si="29"/>
        <v>0</v>
      </c>
      <c r="Q132" s="64"/>
      <c r="R132" s="95">
        <f t="shared" si="30"/>
        <v>100.8</v>
      </c>
      <c r="S132" s="64"/>
    </row>
    <row r="133" spans="1:19" x14ac:dyDescent="0.2">
      <c r="A133" s="190">
        <v>95</v>
      </c>
      <c r="B133" s="144">
        <v>70</v>
      </c>
      <c r="C133" s="137" t="s">
        <v>748</v>
      </c>
      <c r="D133" s="141">
        <v>45504</v>
      </c>
      <c r="E133" s="2" t="s">
        <v>735</v>
      </c>
      <c r="F133" s="98" t="s">
        <v>736</v>
      </c>
      <c r="G133" s="99">
        <v>93476448836</v>
      </c>
      <c r="H133" s="74"/>
      <c r="I133" s="74"/>
      <c r="J133" s="113">
        <v>642.4</v>
      </c>
      <c r="K133" s="100">
        <f t="shared" ref="K133:K153" si="31">H133+I133+J133+M133</f>
        <v>803</v>
      </c>
      <c r="L133" s="95"/>
      <c r="M133" s="95">
        <f t="shared" ref="M133:M153" si="32">SUM(N133:S133)</f>
        <v>160.6</v>
      </c>
      <c r="N133" s="64">
        <f t="shared" si="18"/>
        <v>0</v>
      </c>
      <c r="O133" s="64"/>
      <c r="P133" s="95">
        <f t="shared" ref="P133:P153" si="33">+I133*0.13</f>
        <v>0</v>
      </c>
      <c r="Q133" s="64"/>
      <c r="R133" s="95">
        <f t="shared" ref="R133:R153" si="34">J133*0.25</f>
        <v>160.6</v>
      </c>
      <c r="S133" s="64"/>
    </row>
    <row r="134" spans="1:19" x14ac:dyDescent="0.2">
      <c r="A134" s="190">
        <v>96</v>
      </c>
      <c r="B134" s="144">
        <v>71</v>
      </c>
      <c r="C134" s="137" t="s">
        <v>622</v>
      </c>
      <c r="D134" s="141">
        <v>45504</v>
      </c>
      <c r="E134" s="2" t="s">
        <v>608</v>
      </c>
      <c r="F134" s="98" t="s">
        <v>609</v>
      </c>
      <c r="G134" s="99">
        <v>43965974818</v>
      </c>
      <c r="H134" s="74"/>
      <c r="I134" s="74">
        <v>37.67</v>
      </c>
      <c r="J134" s="113"/>
      <c r="K134" s="100">
        <f t="shared" si="31"/>
        <v>42.567100000000003</v>
      </c>
      <c r="L134" s="95"/>
      <c r="M134" s="95">
        <f t="shared" si="32"/>
        <v>4.8971</v>
      </c>
      <c r="N134" s="64">
        <f t="shared" si="18"/>
        <v>0</v>
      </c>
      <c r="O134" s="64"/>
      <c r="P134" s="95">
        <f t="shared" si="33"/>
        <v>4.8971</v>
      </c>
      <c r="Q134" s="64"/>
      <c r="R134" s="95">
        <f t="shared" si="34"/>
        <v>0</v>
      </c>
      <c r="S134" s="64"/>
    </row>
    <row r="135" spans="1:19" x14ac:dyDescent="0.2">
      <c r="A135" s="190">
        <v>97</v>
      </c>
      <c r="B135" s="144">
        <v>72</v>
      </c>
      <c r="C135" s="137" t="s">
        <v>634</v>
      </c>
      <c r="D135" s="141">
        <v>45504</v>
      </c>
      <c r="E135" s="2" t="s">
        <v>608</v>
      </c>
      <c r="F135" s="98" t="s">
        <v>609</v>
      </c>
      <c r="G135" s="99">
        <v>43965974818</v>
      </c>
      <c r="H135" s="74"/>
      <c r="I135" s="74">
        <v>71.319999999999993</v>
      </c>
      <c r="J135" s="113"/>
      <c r="K135" s="100">
        <f t="shared" si="31"/>
        <v>80.5916</v>
      </c>
      <c r="L135" s="95"/>
      <c r="M135" s="95">
        <f t="shared" si="32"/>
        <v>9.2715999999999994</v>
      </c>
      <c r="N135" s="64">
        <f t="shared" si="18"/>
        <v>0</v>
      </c>
      <c r="O135" s="64"/>
      <c r="P135" s="95">
        <f t="shared" si="33"/>
        <v>9.2715999999999994</v>
      </c>
      <c r="Q135" s="64"/>
      <c r="R135" s="95">
        <f t="shared" si="34"/>
        <v>0</v>
      </c>
      <c r="S135" s="64"/>
    </row>
    <row r="136" spans="1:19" x14ac:dyDescent="0.2">
      <c r="A136" s="190">
        <v>98</v>
      </c>
      <c r="B136" s="144">
        <v>73</v>
      </c>
      <c r="C136" s="137" t="s">
        <v>621</v>
      </c>
      <c r="D136" s="141">
        <v>45504</v>
      </c>
      <c r="E136" s="2" t="s">
        <v>608</v>
      </c>
      <c r="F136" s="98" t="s">
        <v>609</v>
      </c>
      <c r="G136" s="99">
        <v>43965974818</v>
      </c>
      <c r="H136" s="74"/>
      <c r="I136" s="74">
        <v>121.12</v>
      </c>
      <c r="J136" s="113"/>
      <c r="K136" s="100">
        <f t="shared" si="31"/>
        <v>136.8656</v>
      </c>
      <c r="L136" s="95"/>
      <c r="M136" s="95">
        <f t="shared" si="32"/>
        <v>15.745600000000001</v>
      </c>
      <c r="N136" s="64">
        <f t="shared" si="18"/>
        <v>0</v>
      </c>
      <c r="O136" s="64"/>
      <c r="P136" s="95">
        <f t="shared" si="33"/>
        <v>15.745600000000001</v>
      </c>
      <c r="Q136" s="64"/>
      <c r="R136" s="95">
        <f t="shared" si="34"/>
        <v>0</v>
      </c>
      <c r="S136" s="64"/>
    </row>
    <row r="137" spans="1:19" ht="13.5" thickBot="1" x14ac:dyDescent="0.25">
      <c r="A137" s="190">
        <v>99</v>
      </c>
      <c r="B137" s="144">
        <v>74</v>
      </c>
      <c r="C137" s="137" t="s">
        <v>623</v>
      </c>
      <c r="D137" s="141">
        <v>45504</v>
      </c>
      <c r="E137" s="2" t="s">
        <v>608</v>
      </c>
      <c r="F137" s="98" t="s">
        <v>609</v>
      </c>
      <c r="G137" s="99">
        <v>43965974818</v>
      </c>
      <c r="H137" s="74"/>
      <c r="I137" s="74">
        <v>92.33</v>
      </c>
      <c r="J137" s="113"/>
      <c r="K137" s="100">
        <f t="shared" si="31"/>
        <v>104.3329</v>
      </c>
      <c r="L137" s="95"/>
      <c r="M137" s="95">
        <f t="shared" si="32"/>
        <v>12.0029</v>
      </c>
      <c r="N137" s="64">
        <f t="shared" si="18"/>
        <v>0</v>
      </c>
      <c r="O137" s="64"/>
      <c r="P137" s="95">
        <f t="shared" si="33"/>
        <v>12.0029</v>
      </c>
      <c r="Q137" s="64"/>
      <c r="R137" s="95">
        <f t="shared" si="34"/>
        <v>0</v>
      </c>
      <c r="S137" s="64"/>
    </row>
    <row r="138" spans="1:19" x14ac:dyDescent="0.2">
      <c r="A138" s="120">
        <v>0</v>
      </c>
      <c r="B138" s="142">
        <v>0</v>
      </c>
      <c r="C138" s="143"/>
      <c r="D138" s="150"/>
      <c r="E138" s="151"/>
      <c r="F138" s="152"/>
      <c r="G138" s="153"/>
      <c r="H138" s="74"/>
      <c r="I138" s="74"/>
      <c r="J138" s="113"/>
      <c r="K138" s="100">
        <f t="shared" si="31"/>
        <v>0</v>
      </c>
      <c r="L138" s="95"/>
      <c r="M138" s="95">
        <f t="shared" si="32"/>
        <v>0</v>
      </c>
      <c r="N138" s="64">
        <f t="shared" si="18"/>
        <v>0</v>
      </c>
      <c r="O138" s="64"/>
      <c r="P138" s="95">
        <f t="shared" si="33"/>
        <v>0</v>
      </c>
      <c r="Q138" s="64"/>
      <c r="R138" s="95">
        <f t="shared" si="34"/>
        <v>0</v>
      </c>
      <c r="S138" s="64"/>
    </row>
    <row r="139" spans="1:19" x14ac:dyDescent="0.2">
      <c r="A139" s="1">
        <v>0</v>
      </c>
      <c r="B139" s="319" t="s">
        <v>749</v>
      </c>
      <c r="C139" s="320"/>
      <c r="D139" s="320"/>
      <c r="E139" s="320"/>
      <c r="F139" s="321"/>
      <c r="G139" s="156"/>
      <c r="H139" s="74"/>
      <c r="I139" s="74"/>
      <c r="J139" s="113"/>
      <c r="K139" s="100">
        <f t="shared" si="31"/>
        <v>0</v>
      </c>
      <c r="L139" s="95"/>
      <c r="M139" s="95">
        <f t="shared" si="32"/>
        <v>0</v>
      </c>
      <c r="N139" s="64">
        <f t="shared" si="18"/>
        <v>0</v>
      </c>
      <c r="O139" s="64"/>
      <c r="P139" s="95">
        <f t="shared" si="33"/>
        <v>0</v>
      </c>
      <c r="Q139" s="64"/>
      <c r="R139" s="95">
        <f t="shared" si="34"/>
        <v>0</v>
      </c>
      <c r="S139" s="64"/>
    </row>
    <row r="140" spans="1:19" ht="13.5" thickBot="1" x14ac:dyDescent="0.25">
      <c r="A140" s="164">
        <v>0</v>
      </c>
      <c r="B140" s="168">
        <v>0</v>
      </c>
      <c r="C140" s="169"/>
      <c r="D140" s="170"/>
      <c r="E140" s="13"/>
      <c r="F140" s="203"/>
      <c r="G140" s="204"/>
      <c r="H140" s="74"/>
      <c r="I140" s="74"/>
      <c r="J140" s="113"/>
      <c r="K140" s="100">
        <f t="shared" si="31"/>
        <v>0</v>
      </c>
      <c r="L140" s="95"/>
      <c r="M140" s="95">
        <f t="shared" si="32"/>
        <v>0</v>
      </c>
      <c r="N140" s="64">
        <f t="shared" si="18"/>
        <v>0</v>
      </c>
      <c r="O140" s="64"/>
      <c r="P140" s="95">
        <f t="shared" si="33"/>
        <v>0</v>
      </c>
      <c r="Q140" s="64"/>
      <c r="R140" s="95">
        <f t="shared" si="34"/>
        <v>0</v>
      </c>
      <c r="S140" s="64"/>
    </row>
    <row r="141" spans="1:19" x14ac:dyDescent="0.2">
      <c r="A141" s="1">
        <v>0</v>
      </c>
      <c r="B141" s="144">
        <v>0</v>
      </c>
      <c r="C141" s="137"/>
      <c r="D141" s="141"/>
      <c r="E141" s="154"/>
      <c r="F141" s="155"/>
      <c r="G141" s="156"/>
      <c r="H141" s="74"/>
      <c r="I141" s="74"/>
      <c r="J141" s="113"/>
      <c r="K141" s="100">
        <f t="shared" si="31"/>
        <v>0</v>
      </c>
      <c r="L141" s="95"/>
      <c r="M141" s="95">
        <f t="shared" si="32"/>
        <v>0</v>
      </c>
      <c r="N141" s="64">
        <f t="shared" si="18"/>
        <v>0</v>
      </c>
      <c r="O141" s="64"/>
      <c r="P141" s="95">
        <f t="shared" si="33"/>
        <v>0</v>
      </c>
      <c r="Q141" s="64"/>
      <c r="R141" s="95">
        <f t="shared" si="34"/>
        <v>0</v>
      </c>
      <c r="S141" s="64"/>
    </row>
    <row r="142" spans="1:19" x14ac:dyDescent="0.2">
      <c r="A142" s="190">
        <v>101</v>
      </c>
      <c r="B142" s="144">
        <v>75</v>
      </c>
      <c r="C142" s="137" t="s">
        <v>797</v>
      </c>
      <c r="D142" s="141">
        <v>45504</v>
      </c>
      <c r="E142" s="2" t="s">
        <v>632</v>
      </c>
      <c r="F142" s="98" t="s">
        <v>633</v>
      </c>
      <c r="G142" s="99">
        <v>81793146560</v>
      </c>
      <c r="H142" s="74"/>
      <c r="I142" s="74"/>
      <c r="J142" s="113">
        <v>28.37</v>
      </c>
      <c r="K142" s="100">
        <f t="shared" si="31"/>
        <v>35.462499999999999</v>
      </c>
      <c r="L142" s="95"/>
      <c r="M142" s="95">
        <f t="shared" si="32"/>
        <v>7.0925000000000002</v>
      </c>
      <c r="N142" s="64">
        <f t="shared" si="18"/>
        <v>0</v>
      </c>
      <c r="O142" s="64"/>
      <c r="P142" s="95">
        <f t="shared" si="33"/>
        <v>0</v>
      </c>
      <c r="Q142" s="64"/>
      <c r="R142" s="95">
        <f t="shared" si="34"/>
        <v>7.0925000000000002</v>
      </c>
      <c r="S142" s="64"/>
    </row>
    <row r="143" spans="1:19" x14ac:dyDescent="0.2">
      <c r="A143" s="190">
        <v>102</v>
      </c>
      <c r="B143" s="144">
        <v>76</v>
      </c>
      <c r="C143" s="137" t="s">
        <v>798</v>
      </c>
      <c r="D143" s="141">
        <v>45504</v>
      </c>
      <c r="E143" s="2" t="s">
        <v>588</v>
      </c>
      <c r="F143" s="240" t="s">
        <v>595</v>
      </c>
      <c r="G143" s="99">
        <v>77465071491</v>
      </c>
      <c r="H143" s="74"/>
      <c r="I143" s="74">
        <v>15.93</v>
      </c>
      <c r="J143" s="113"/>
      <c r="K143" s="100">
        <f t="shared" si="31"/>
        <v>18.000900000000001</v>
      </c>
      <c r="L143" s="95"/>
      <c r="M143" s="95">
        <f t="shared" si="32"/>
        <v>2.0709</v>
      </c>
      <c r="N143" s="64">
        <f t="shared" si="18"/>
        <v>0</v>
      </c>
      <c r="O143" s="64"/>
      <c r="P143" s="95">
        <f t="shared" si="33"/>
        <v>2.0709</v>
      </c>
      <c r="Q143" s="64"/>
      <c r="R143" s="95">
        <f t="shared" si="34"/>
        <v>0</v>
      </c>
      <c r="S143" s="64"/>
    </row>
    <row r="144" spans="1:19" x14ac:dyDescent="0.2">
      <c r="A144" s="190">
        <v>103</v>
      </c>
      <c r="B144" s="227">
        <v>77</v>
      </c>
      <c r="C144" s="137" t="s">
        <v>799</v>
      </c>
      <c r="D144" s="141">
        <v>45504</v>
      </c>
      <c r="E144" s="2" t="s">
        <v>587</v>
      </c>
      <c r="F144" s="98" t="s">
        <v>607</v>
      </c>
      <c r="G144" s="99">
        <v>51260824290</v>
      </c>
      <c r="H144" s="74"/>
      <c r="I144" s="74">
        <v>3.32</v>
      </c>
      <c r="J144" s="113"/>
      <c r="K144" s="100">
        <f t="shared" si="31"/>
        <v>3.7515999999999998</v>
      </c>
      <c r="L144" s="95"/>
      <c r="M144" s="95">
        <f t="shared" si="32"/>
        <v>0.43159999999999998</v>
      </c>
      <c r="N144" s="64">
        <f t="shared" si="18"/>
        <v>0</v>
      </c>
      <c r="O144" s="64"/>
      <c r="P144" s="95">
        <f t="shared" si="33"/>
        <v>0.43159999999999998</v>
      </c>
      <c r="Q144" s="64"/>
      <c r="R144" s="95">
        <f t="shared" si="34"/>
        <v>0</v>
      </c>
      <c r="S144" s="64"/>
    </row>
    <row r="145" spans="1:19" x14ac:dyDescent="0.2">
      <c r="A145" s="190">
        <v>104</v>
      </c>
      <c r="B145" s="227">
        <v>78</v>
      </c>
      <c r="C145" s="137" t="s">
        <v>800</v>
      </c>
      <c r="D145" s="141">
        <v>45504</v>
      </c>
      <c r="E145" s="2" t="s">
        <v>587</v>
      </c>
      <c r="F145" s="98" t="s">
        <v>607</v>
      </c>
      <c r="G145" s="99">
        <v>51260824290</v>
      </c>
      <c r="H145" s="74"/>
      <c r="I145" s="74">
        <v>3.32</v>
      </c>
      <c r="J145" s="113"/>
      <c r="K145" s="100">
        <f t="shared" si="31"/>
        <v>3.7515999999999998</v>
      </c>
      <c r="L145" s="95"/>
      <c r="M145" s="95">
        <f t="shared" si="32"/>
        <v>0.43159999999999998</v>
      </c>
      <c r="N145" s="64">
        <f t="shared" si="18"/>
        <v>0</v>
      </c>
      <c r="O145" s="64"/>
      <c r="P145" s="95">
        <f t="shared" si="33"/>
        <v>0.43159999999999998</v>
      </c>
      <c r="Q145" s="64"/>
      <c r="R145" s="95">
        <f t="shared" si="34"/>
        <v>0</v>
      </c>
      <c r="S145" s="64"/>
    </row>
    <row r="146" spans="1:19" x14ac:dyDescent="0.2">
      <c r="A146" s="190">
        <v>105</v>
      </c>
      <c r="B146" s="227">
        <v>79</v>
      </c>
      <c r="C146" s="137" t="s">
        <v>798</v>
      </c>
      <c r="D146" s="141">
        <v>45504</v>
      </c>
      <c r="E146" s="2" t="s">
        <v>587</v>
      </c>
      <c r="F146" s="98" t="s">
        <v>607</v>
      </c>
      <c r="G146" s="99">
        <v>51260824290</v>
      </c>
      <c r="H146" s="74"/>
      <c r="I146" s="74">
        <v>3.32</v>
      </c>
      <c r="J146" s="113"/>
      <c r="K146" s="100">
        <f t="shared" si="31"/>
        <v>3.7515999999999998</v>
      </c>
      <c r="L146" s="95"/>
      <c r="M146" s="95">
        <f t="shared" si="32"/>
        <v>0.43159999999999998</v>
      </c>
      <c r="N146" s="64">
        <f t="shared" si="18"/>
        <v>0</v>
      </c>
      <c r="O146" s="64"/>
      <c r="P146" s="95">
        <f t="shared" si="33"/>
        <v>0.43159999999999998</v>
      </c>
      <c r="Q146" s="64"/>
      <c r="R146" s="95">
        <f t="shared" si="34"/>
        <v>0</v>
      </c>
      <c r="S146" s="64"/>
    </row>
    <row r="147" spans="1:19" x14ac:dyDescent="0.2">
      <c r="A147" s="190">
        <v>107</v>
      </c>
      <c r="B147" s="227">
        <v>80</v>
      </c>
      <c r="C147" s="137" t="s">
        <v>802</v>
      </c>
      <c r="D147" s="141">
        <v>45505</v>
      </c>
      <c r="E147" s="2" t="s">
        <v>589</v>
      </c>
      <c r="F147" s="2" t="s">
        <v>594</v>
      </c>
      <c r="G147" s="99">
        <v>26618043061</v>
      </c>
      <c r="H147" s="74"/>
      <c r="I147" s="74"/>
      <c r="J147" s="113">
        <v>400</v>
      </c>
      <c r="K147" s="100">
        <f t="shared" si="31"/>
        <v>500</v>
      </c>
      <c r="L147" s="95"/>
      <c r="M147" s="95">
        <f t="shared" si="32"/>
        <v>100</v>
      </c>
      <c r="N147" s="64">
        <f t="shared" si="18"/>
        <v>0</v>
      </c>
      <c r="O147" s="64"/>
      <c r="P147" s="95">
        <f t="shared" si="33"/>
        <v>0</v>
      </c>
      <c r="Q147" s="64"/>
      <c r="R147" s="95">
        <f t="shared" si="34"/>
        <v>100</v>
      </c>
      <c r="S147" s="64"/>
    </row>
    <row r="148" spans="1:19" x14ac:dyDescent="0.2">
      <c r="A148" s="190">
        <v>109</v>
      </c>
      <c r="B148" s="227">
        <v>81</v>
      </c>
      <c r="C148" s="137" t="s">
        <v>803</v>
      </c>
      <c r="D148" s="141">
        <v>45516</v>
      </c>
      <c r="E148" s="2" t="s">
        <v>735</v>
      </c>
      <c r="F148" s="98" t="s">
        <v>736</v>
      </c>
      <c r="G148" s="99">
        <v>93476448836</v>
      </c>
      <c r="H148" s="74"/>
      <c r="I148" s="74"/>
      <c r="J148" s="113">
        <v>536</v>
      </c>
      <c r="K148" s="100">
        <f t="shared" si="31"/>
        <v>670</v>
      </c>
      <c r="L148" s="95"/>
      <c r="M148" s="95">
        <f t="shared" si="32"/>
        <v>134</v>
      </c>
      <c r="N148" s="64">
        <f t="shared" si="18"/>
        <v>0</v>
      </c>
      <c r="O148" s="64"/>
      <c r="P148" s="95">
        <f t="shared" si="33"/>
        <v>0</v>
      </c>
      <c r="Q148" s="64"/>
      <c r="R148" s="95">
        <f t="shared" si="34"/>
        <v>134</v>
      </c>
      <c r="S148" s="64"/>
    </row>
    <row r="149" spans="1:19" x14ac:dyDescent="0.2">
      <c r="A149" s="190">
        <v>110</v>
      </c>
      <c r="B149" s="227">
        <v>82</v>
      </c>
      <c r="C149" s="137" t="s">
        <v>804</v>
      </c>
      <c r="D149" s="141">
        <v>45528</v>
      </c>
      <c r="E149" s="2" t="s">
        <v>805</v>
      </c>
      <c r="F149" s="98" t="s">
        <v>806</v>
      </c>
      <c r="G149" s="99">
        <v>72313761076</v>
      </c>
      <c r="H149" s="74"/>
      <c r="I149" s="74"/>
      <c r="J149" s="113">
        <v>22.939</v>
      </c>
      <c r="K149" s="100">
        <f t="shared" si="31"/>
        <v>28.673749999999998</v>
      </c>
      <c r="L149" s="95"/>
      <c r="M149" s="95">
        <f t="shared" si="32"/>
        <v>5.73475</v>
      </c>
      <c r="N149" s="64">
        <f t="shared" si="18"/>
        <v>0</v>
      </c>
      <c r="O149" s="64"/>
      <c r="P149" s="95">
        <f t="shared" si="33"/>
        <v>0</v>
      </c>
      <c r="Q149" s="64"/>
      <c r="R149" s="95">
        <f t="shared" si="34"/>
        <v>5.73475</v>
      </c>
      <c r="S149" s="64"/>
    </row>
    <row r="150" spans="1:19" x14ac:dyDescent="0.2">
      <c r="A150" s="190">
        <v>111</v>
      </c>
      <c r="B150" s="227">
        <v>83</v>
      </c>
      <c r="C150" s="137" t="s">
        <v>807</v>
      </c>
      <c r="D150" s="141">
        <v>45528</v>
      </c>
      <c r="E150" s="2" t="s">
        <v>808</v>
      </c>
      <c r="F150" s="98" t="s">
        <v>809</v>
      </c>
      <c r="G150" s="99">
        <v>70133616033</v>
      </c>
      <c r="H150" s="74"/>
      <c r="I150" s="74"/>
      <c r="J150" s="113">
        <v>7.96</v>
      </c>
      <c r="K150" s="100">
        <f t="shared" si="31"/>
        <v>9.9499999999999993</v>
      </c>
      <c r="L150" s="95"/>
      <c r="M150" s="95">
        <f t="shared" si="32"/>
        <v>1.99</v>
      </c>
      <c r="N150" s="64">
        <f t="shared" si="18"/>
        <v>0</v>
      </c>
      <c r="O150" s="64"/>
      <c r="P150" s="95">
        <f t="shared" si="33"/>
        <v>0</v>
      </c>
      <c r="Q150" s="64"/>
      <c r="R150" s="95">
        <f t="shared" si="34"/>
        <v>1.99</v>
      </c>
      <c r="S150" s="64"/>
    </row>
    <row r="151" spans="1:19" x14ac:dyDescent="0.2">
      <c r="A151" s="190">
        <v>112</v>
      </c>
      <c r="B151" s="227">
        <v>84</v>
      </c>
      <c r="C151" s="137" t="s">
        <v>810</v>
      </c>
      <c r="D151" s="141">
        <v>45535</v>
      </c>
      <c r="E151" s="2" t="s">
        <v>735</v>
      </c>
      <c r="F151" s="98" t="s">
        <v>736</v>
      </c>
      <c r="G151" s="99">
        <v>93476448836</v>
      </c>
      <c r="H151" s="74"/>
      <c r="I151" s="74"/>
      <c r="J151" s="113">
        <v>821.6</v>
      </c>
      <c r="K151" s="100">
        <f t="shared" si="31"/>
        <v>1027</v>
      </c>
      <c r="L151" s="95"/>
      <c r="M151" s="95">
        <f t="shared" si="32"/>
        <v>205.4</v>
      </c>
      <c r="N151" s="64">
        <f t="shared" si="18"/>
        <v>0</v>
      </c>
      <c r="O151" s="64"/>
      <c r="P151" s="95">
        <f t="shared" si="33"/>
        <v>0</v>
      </c>
      <c r="Q151" s="64"/>
      <c r="R151" s="95">
        <f t="shared" si="34"/>
        <v>205.4</v>
      </c>
      <c r="S151" s="64"/>
    </row>
    <row r="152" spans="1:19" x14ac:dyDescent="0.2">
      <c r="A152" s="190">
        <v>113</v>
      </c>
      <c r="B152" s="227">
        <v>85</v>
      </c>
      <c r="C152" s="137" t="s">
        <v>811</v>
      </c>
      <c r="D152" s="141">
        <v>45535</v>
      </c>
      <c r="E152" s="2" t="s">
        <v>632</v>
      </c>
      <c r="F152" s="98" t="s">
        <v>633</v>
      </c>
      <c r="G152" s="99">
        <v>81793146560</v>
      </c>
      <c r="H152" s="74"/>
      <c r="I152" s="74"/>
      <c r="J152" s="113">
        <v>28.37</v>
      </c>
      <c r="K152" s="100">
        <f t="shared" si="31"/>
        <v>35.462499999999999</v>
      </c>
      <c r="L152" s="95"/>
      <c r="M152" s="95">
        <f t="shared" si="32"/>
        <v>7.0925000000000002</v>
      </c>
      <c r="N152" s="64">
        <f t="shared" si="18"/>
        <v>0</v>
      </c>
      <c r="O152" s="64"/>
      <c r="P152" s="95">
        <f t="shared" si="33"/>
        <v>0</v>
      </c>
      <c r="Q152" s="64"/>
      <c r="R152" s="95">
        <f t="shared" si="34"/>
        <v>7.0925000000000002</v>
      </c>
      <c r="S152" s="64"/>
    </row>
    <row r="153" spans="1:19" x14ac:dyDescent="0.2">
      <c r="A153" s="190">
        <v>114</v>
      </c>
      <c r="B153" s="227">
        <v>86</v>
      </c>
      <c r="C153" s="137" t="s">
        <v>623</v>
      </c>
      <c r="D153" s="141">
        <v>45535</v>
      </c>
      <c r="E153" s="2" t="s">
        <v>608</v>
      </c>
      <c r="F153" s="98" t="s">
        <v>609</v>
      </c>
      <c r="G153" s="99">
        <v>43965974818</v>
      </c>
      <c r="H153" s="74"/>
      <c r="I153" s="74">
        <v>105.6</v>
      </c>
      <c r="J153" s="113"/>
      <c r="K153" s="100">
        <f t="shared" si="31"/>
        <v>119.32799999999999</v>
      </c>
      <c r="L153" s="95"/>
      <c r="M153" s="95">
        <f t="shared" si="32"/>
        <v>13.728</v>
      </c>
      <c r="N153" s="64">
        <f t="shared" si="18"/>
        <v>0</v>
      </c>
      <c r="O153" s="64"/>
      <c r="P153" s="95">
        <f t="shared" si="33"/>
        <v>13.728</v>
      </c>
      <c r="Q153" s="64"/>
      <c r="R153" s="95">
        <f t="shared" si="34"/>
        <v>0</v>
      </c>
      <c r="S153" s="64"/>
    </row>
    <row r="154" spans="1:19" x14ac:dyDescent="0.2">
      <c r="A154" s="190">
        <v>115</v>
      </c>
      <c r="B154" s="227">
        <v>87</v>
      </c>
      <c r="C154" s="137" t="s">
        <v>622</v>
      </c>
      <c r="D154" s="141">
        <v>45535</v>
      </c>
      <c r="E154" s="2" t="s">
        <v>608</v>
      </c>
      <c r="F154" s="98" t="s">
        <v>609</v>
      </c>
      <c r="G154" s="99">
        <v>43965974818</v>
      </c>
      <c r="H154" s="74"/>
      <c r="I154" s="74">
        <v>40.409999999999997</v>
      </c>
      <c r="J154" s="113"/>
      <c r="K154" s="100">
        <f t="shared" ref="K154:K161" si="35">H154+I154+J154+M154</f>
        <v>45.663299999999992</v>
      </c>
      <c r="L154" s="95"/>
      <c r="M154" s="95">
        <f t="shared" ref="M154:M161" si="36">SUM(N154:S154)</f>
        <v>5.2532999999999994</v>
      </c>
      <c r="N154" s="64">
        <f t="shared" si="18"/>
        <v>0</v>
      </c>
      <c r="O154" s="64"/>
      <c r="P154" s="95">
        <f t="shared" ref="P154:P162" si="37">+I154*0.13</f>
        <v>5.2532999999999994</v>
      </c>
      <c r="Q154" s="64"/>
      <c r="R154" s="95">
        <f t="shared" ref="R154:R162" si="38">J154*0.25</f>
        <v>0</v>
      </c>
      <c r="S154" s="64"/>
    </row>
    <row r="155" spans="1:19" x14ac:dyDescent="0.2">
      <c r="A155" s="190">
        <v>116</v>
      </c>
      <c r="B155" s="227">
        <v>88</v>
      </c>
      <c r="C155" s="137" t="s">
        <v>634</v>
      </c>
      <c r="D155" s="141">
        <v>45535</v>
      </c>
      <c r="E155" s="2" t="s">
        <v>608</v>
      </c>
      <c r="F155" s="98" t="s">
        <v>609</v>
      </c>
      <c r="G155" s="99">
        <v>43965974818</v>
      </c>
      <c r="H155" s="74"/>
      <c r="I155" s="74">
        <v>84.57</v>
      </c>
      <c r="J155" s="113"/>
      <c r="K155" s="100">
        <f t="shared" si="35"/>
        <v>95.564099999999996</v>
      </c>
      <c r="L155" s="95"/>
      <c r="M155" s="95">
        <f t="shared" si="36"/>
        <v>10.9941</v>
      </c>
      <c r="N155" s="64">
        <f t="shared" si="18"/>
        <v>0</v>
      </c>
      <c r="O155" s="64"/>
      <c r="P155" s="95">
        <f t="shared" si="37"/>
        <v>10.9941</v>
      </c>
      <c r="Q155" s="64"/>
      <c r="R155" s="95">
        <f t="shared" si="38"/>
        <v>0</v>
      </c>
      <c r="S155" s="64"/>
    </row>
    <row r="156" spans="1:19" x14ac:dyDescent="0.2">
      <c r="A156" s="190">
        <v>117</v>
      </c>
      <c r="B156" s="227">
        <v>89</v>
      </c>
      <c r="C156" s="137" t="s">
        <v>621</v>
      </c>
      <c r="D156" s="141">
        <v>45535</v>
      </c>
      <c r="E156" s="2" t="s">
        <v>608</v>
      </c>
      <c r="F156" s="98" t="s">
        <v>609</v>
      </c>
      <c r="G156" s="99">
        <v>43965974818</v>
      </c>
      <c r="H156" s="74"/>
      <c r="I156" s="74">
        <v>125.13</v>
      </c>
      <c r="J156" s="113"/>
      <c r="K156" s="100">
        <f t="shared" si="35"/>
        <v>141.39689999999999</v>
      </c>
      <c r="L156" s="95"/>
      <c r="M156" s="95">
        <f t="shared" si="36"/>
        <v>16.2669</v>
      </c>
      <c r="N156" s="64">
        <f t="shared" si="18"/>
        <v>0</v>
      </c>
      <c r="O156" s="64"/>
      <c r="P156" s="95">
        <f t="shared" si="37"/>
        <v>16.2669</v>
      </c>
      <c r="Q156" s="64"/>
      <c r="R156" s="95">
        <f t="shared" si="38"/>
        <v>0</v>
      </c>
      <c r="S156" s="64"/>
    </row>
    <row r="157" spans="1:19" ht="13.5" thickBot="1" x14ac:dyDescent="0.25">
      <c r="A157" s="226">
        <v>0</v>
      </c>
      <c r="B157" s="229">
        <v>0</v>
      </c>
      <c r="C157" s="174"/>
      <c r="D157" s="175"/>
      <c r="E157" s="194"/>
      <c r="F157" s="195"/>
      <c r="G157" s="196"/>
      <c r="H157" s="74"/>
      <c r="I157" s="74"/>
      <c r="J157" s="113"/>
      <c r="K157" s="100">
        <f t="shared" si="35"/>
        <v>0</v>
      </c>
      <c r="L157" s="95"/>
      <c r="M157" s="95">
        <f t="shared" si="36"/>
        <v>0</v>
      </c>
      <c r="N157" s="64">
        <f t="shared" ref="N157:N206" si="39">H157*0.05</f>
        <v>0</v>
      </c>
      <c r="O157" s="64"/>
      <c r="P157" s="95">
        <f t="shared" si="37"/>
        <v>0</v>
      </c>
      <c r="Q157" s="64"/>
      <c r="R157" s="95">
        <f t="shared" si="38"/>
        <v>0</v>
      </c>
      <c r="S157" s="64"/>
    </row>
    <row r="158" spans="1:19" x14ac:dyDescent="0.2">
      <c r="A158" s="120">
        <v>0</v>
      </c>
      <c r="B158" s="142">
        <v>0</v>
      </c>
      <c r="C158" s="143"/>
      <c r="D158" s="150"/>
      <c r="E158" s="151"/>
      <c r="F158" s="152"/>
      <c r="G158" s="153"/>
      <c r="H158" s="74"/>
      <c r="I158" s="74"/>
      <c r="J158" s="113"/>
      <c r="K158" s="100">
        <f t="shared" si="35"/>
        <v>0</v>
      </c>
      <c r="L158" s="95"/>
      <c r="M158" s="95">
        <f t="shared" si="36"/>
        <v>0</v>
      </c>
      <c r="N158" s="64">
        <f t="shared" si="39"/>
        <v>0</v>
      </c>
      <c r="O158" s="64"/>
      <c r="P158" s="95">
        <f t="shared" si="37"/>
        <v>0</v>
      </c>
      <c r="Q158" s="64"/>
      <c r="R158" s="95">
        <f t="shared" si="38"/>
        <v>0</v>
      </c>
      <c r="S158" s="64"/>
    </row>
    <row r="159" spans="1:19" x14ac:dyDescent="0.2">
      <c r="A159" s="241">
        <v>0</v>
      </c>
      <c r="B159" s="319" t="s">
        <v>812</v>
      </c>
      <c r="C159" s="320"/>
      <c r="D159" s="320"/>
      <c r="E159" s="320"/>
      <c r="F159" s="321"/>
      <c r="G159" s="156"/>
      <c r="H159" s="74"/>
      <c r="I159" s="74"/>
      <c r="J159" s="113"/>
      <c r="K159" s="100">
        <f t="shared" si="35"/>
        <v>0</v>
      </c>
      <c r="L159" s="95"/>
      <c r="M159" s="95">
        <f t="shared" si="36"/>
        <v>0</v>
      </c>
      <c r="N159" s="64">
        <f t="shared" si="39"/>
        <v>0</v>
      </c>
      <c r="O159" s="64"/>
      <c r="P159" s="95">
        <f t="shared" si="37"/>
        <v>0</v>
      </c>
      <c r="Q159" s="64"/>
      <c r="R159" s="95">
        <f t="shared" si="38"/>
        <v>0</v>
      </c>
      <c r="S159" s="64"/>
    </row>
    <row r="160" spans="1:19" ht="13.5" thickBot="1" x14ac:dyDescent="0.25">
      <c r="A160" s="164">
        <v>0</v>
      </c>
      <c r="B160" s="168">
        <v>0</v>
      </c>
      <c r="C160" s="169"/>
      <c r="D160" s="170"/>
      <c r="E160" s="13"/>
      <c r="F160" s="203"/>
      <c r="G160" s="204"/>
      <c r="H160" s="74"/>
      <c r="I160" s="74"/>
      <c r="J160" s="113"/>
      <c r="K160" s="100">
        <f t="shared" si="35"/>
        <v>0</v>
      </c>
      <c r="L160" s="95"/>
      <c r="M160" s="95">
        <f t="shared" si="36"/>
        <v>0</v>
      </c>
      <c r="N160" s="64">
        <f t="shared" si="39"/>
        <v>0</v>
      </c>
      <c r="O160" s="64"/>
      <c r="P160" s="95">
        <f t="shared" si="37"/>
        <v>0</v>
      </c>
      <c r="Q160" s="64"/>
      <c r="R160" s="95">
        <f t="shared" si="38"/>
        <v>0</v>
      </c>
      <c r="S160" s="64"/>
    </row>
    <row r="161" spans="1:19" x14ac:dyDescent="0.2">
      <c r="A161" s="226">
        <v>0</v>
      </c>
      <c r="B161" s="227">
        <v>0</v>
      </c>
      <c r="C161" s="137"/>
      <c r="D161" s="141"/>
      <c r="E161" s="154"/>
      <c r="F161" s="155"/>
      <c r="G161" s="156"/>
      <c r="H161" s="74"/>
      <c r="I161" s="74"/>
      <c r="J161" s="113"/>
      <c r="K161" s="100">
        <f t="shared" si="35"/>
        <v>0</v>
      </c>
      <c r="L161" s="95"/>
      <c r="M161" s="95">
        <f t="shared" si="36"/>
        <v>0</v>
      </c>
      <c r="N161" s="64">
        <f t="shared" si="39"/>
        <v>0</v>
      </c>
      <c r="O161" s="64"/>
      <c r="P161" s="95">
        <f t="shared" si="37"/>
        <v>0</v>
      </c>
      <c r="Q161" s="64"/>
      <c r="R161" s="95">
        <f t="shared" si="38"/>
        <v>0</v>
      </c>
      <c r="S161" s="64"/>
    </row>
    <row r="162" spans="1:19" x14ac:dyDescent="0.2">
      <c r="A162" s="190">
        <v>118</v>
      </c>
      <c r="B162" s="227">
        <v>90</v>
      </c>
      <c r="C162" s="137" t="s">
        <v>838</v>
      </c>
      <c r="D162" s="141">
        <v>45535</v>
      </c>
      <c r="E162" s="2" t="s">
        <v>587</v>
      </c>
      <c r="F162" s="98" t="s">
        <v>607</v>
      </c>
      <c r="G162" s="99">
        <v>51260824290</v>
      </c>
      <c r="H162" s="74"/>
      <c r="I162" s="74">
        <v>3.32</v>
      </c>
      <c r="J162" s="113"/>
      <c r="K162" s="100">
        <f>H162+I162+J162+M162</f>
        <v>3.7515999999999998</v>
      </c>
      <c r="L162" s="95"/>
      <c r="M162" s="95">
        <f>SUM(N162:S162)</f>
        <v>0.43159999999999998</v>
      </c>
      <c r="N162" s="64">
        <f t="shared" si="39"/>
        <v>0</v>
      </c>
      <c r="O162" s="64"/>
      <c r="P162" s="95">
        <f t="shared" si="37"/>
        <v>0.43159999999999998</v>
      </c>
      <c r="Q162" s="64"/>
      <c r="R162" s="95">
        <f t="shared" si="38"/>
        <v>0</v>
      </c>
      <c r="S162" s="64"/>
    </row>
    <row r="163" spans="1:19" x14ac:dyDescent="0.2">
      <c r="A163" s="190">
        <v>119</v>
      </c>
      <c r="B163" s="239">
        <v>91</v>
      </c>
      <c r="C163" s="137" t="s">
        <v>839</v>
      </c>
      <c r="D163" s="141">
        <v>45535</v>
      </c>
      <c r="E163" s="2" t="s">
        <v>587</v>
      </c>
      <c r="F163" s="98" t="s">
        <v>607</v>
      </c>
      <c r="G163" s="99">
        <v>51260824290</v>
      </c>
      <c r="H163" s="74"/>
      <c r="I163" s="74">
        <v>3.32</v>
      </c>
      <c r="J163" s="113"/>
      <c r="K163" s="100">
        <f t="shared" ref="K163:K178" si="40">H163+I163+J163+M163</f>
        <v>3.7515999999999998</v>
      </c>
      <c r="L163" s="95"/>
      <c r="M163" s="95">
        <f t="shared" ref="M163:M178" si="41">SUM(N163:S163)</f>
        <v>0.43159999999999998</v>
      </c>
      <c r="N163" s="64">
        <f t="shared" si="39"/>
        <v>0</v>
      </c>
      <c r="O163" s="64"/>
      <c r="P163" s="95">
        <f t="shared" ref="P163:P178" si="42">+I163*0.13</f>
        <v>0.43159999999999998</v>
      </c>
      <c r="Q163" s="64"/>
      <c r="R163" s="95">
        <f t="shared" ref="R163:R178" si="43">J163*0.25</f>
        <v>0</v>
      </c>
      <c r="S163" s="64"/>
    </row>
    <row r="164" spans="1:19" x14ac:dyDescent="0.2">
      <c r="A164" s="190">
        <v>120</v>
      </c>
      <c r="B164" s="239">
        <v>92</v>
      </c>
      <c r="C164" s="137" t="s">
        <v>840</v>
      </c>
      <c r="D164" s="141">
        <v>45535</v>
      </c>
      <c r="E164" s="2" t="s">
        <v>587</v>
      </c>
      <c r="F164" s="98" t="s">
        <v>607</v>
      </c>
      <c r="G164" s="99">
        <v>51260824290</v>
      </c>
      <c r="H164" s="74"/>
      <c r="I164" s="74">
        <v>3.32</v>
      </c>
      <c r="J164" s="113"/>
      <c r="K164" s="100">
        <f t="shared" si="40"/>
        <v>3.7515999999999998</v>
      </c>
      <c r="L164" s="95"/>
      <c r="M164" s="95">
        <f t="shared" si="41"/>
        <v>0.43159999999999998</v>
      </c>
      <c r="N164" s="64">
        <f t="shared" si="39"/>
        <v>0</v>
      </c>
      <c r="O164" s="64"/>
      <c r="P164" s="95">
        <f t="shared" si="42"/>
        <v>0.43159999999999998</v>
      </c>
      <c r="Q164" s="64"/>
      <c r="R164" s="95">
        <f t="shared" si="43"/>
        <v>0</v>
      </c>
      <c r="S164" s="64"/>
    </row>
    <row r="165" spans="1:19" x14ac:dyDescent="0.2">
      <c r="A165" s="190">
        <v>121</v>
      </c>
      <c r="B165" s="239">
        <v>93</v>
      </c>
      <c r="C165" s="137" t="s">
        <v>840</v>
      </c>
      <c r="D165" s="141">
        <v>45535</v>
      </c>
      <c r="E165" s="2" t="s">
        <v>588</v>
      </c>
      <c r="F165" s="240" t="s">
        <v>595</v>
      </c>
      <c r="G165" s="99">
        <v>77465071491</v>
      </c>
      <c r="H165" s="74"/>
      <c r="I165" s="74">
        <v>15.93</v>
      </c>
      <c r="J165" s="113"/>
      <c r="K165" s="100">
        <f t="shared" si="40"/>
        <v>18.000900000000001</v>
      </c>
      <c r="L165" s="95"/>
      <c r="M165" s="95">
        <f t="shared" si="41"/>
        <v>2.0709</v>
      </c>
      <c r="N165" s="64">
        <f t="shared" si="39"/>
        <v>0</v>
      </c>
      <c r="O165" s="64"/>
      <c r="P165" s="95">
        <f t="shared" si="42"/>
        <v>2.0709</v>
      </c>
      <c r="Q165" s="64"/>
      <c r="R165" s="95">
        <f t="shared" si="43"/>
        <v>0</v>
      </c>
      <c r="S165" s="64"/>
    </row>
    <row r="166" spans="1:19" x14ac:dyDescent="0.2">
      <c r="A166" s="190">
        <v>123</v>
      </c>
      <c r="B166" s="239">
        <v>94</v>
      </c>
      <c r="C166" s="137" t="s">
        <v>841</v>
      </c>
      <c r="D166" s="141">
        <v>45537</v>
      </c>
      <c r="E166" s="2" t="s">
        <v>589</v>
      </c>
      <c r="F166" s="2" t="s">
        <v>594</v>
      </c>
      <c r="G166" s="99">
        <v>26618043061</v>
      </c>
      <c r="H166" s="74"/>
      <c r="I166" s="74"/>
      <c r="J166" s="113">
        <v>400</v>
      </c>
      <c r="K166" s="100">
        <f t="shared" si="40"/>
        <v>500</v>
      </c>
      <c r="L166" s="95"/>
      <c r="M166" s="95">
        <f t="shared" si="41"/>
        <v>100</v>
      </c>
      <c r="N166" s="64">
        <f t="shared" si="39"/>
        <v>0</v>
      </c>
      <c r="O166" s="64"/>
      <c r="P166" s="95">
        <f t="shared" si="42"/>
        <v>0</v>
      </c>
      <c r="Q166" s="64"/>
      <c r="R166" s="95">
        <f t="shared" si="43"/>
        <v>100</v>
      </c>
      <c r="S166" s="64"/>
    </row>
    <row r="167" spans="1:19" x14ac:dyDescent="0.2">
      <c r="A167" s="190">
        <v>125</v>
      </c>
      <c r="B167" s="239">
        <v>95</v>
      </c>
      <c r="C167" s="137" t="s">
        <v>842</v>
      </c>
      <c r="D167" s="141">
        <v>45541</v>
      </c>
      <c r="E167" s="2" t="s">
        <v>735</v>
      </c>
      <c r="F167" s="98" t="s">
        <v>736</v>
      </c>
      <c r="G167" s="99">
        <v>93476448836</v>
      </c>
      <c r="H167" s="74"/>
      <c r="I167" s="74"/>
      <c r="J167" s="113">
        <v>327.39999999999998</v>
      </c>
      <c r="K167" s="100">
        <f t="shared" si="40"/>
        <v>409.25</v>
      </c>
      <c r="L167" s="95"/>
      <c r="M167" s="95">
        <f t="shared" si="41"/>
        <v>81.849999999999994</v>
      </c>
      <c r="N167" s="64">
        <f t="shared" si="39"/>
        <v>0</v>
      </c>
      <c r="O167" s="64"/>
      <c r="P167" s="95">
        <f t="shared" si="42"/>
        <v>0</v>
      </c>
      <c r="Q167" s="64"/>
      <c r="R167" s="95">
        <f t="shared" si="43"/>
        <v>81.849999999999994</v>
      </c>
      <c r="S167" s="64"/>
    </row>
    <row r="168" spans="1:19" x14ac:dyDescent="0.2">
      <c r="A168" s="190">
        <v>127</v>
      </c>
      <c r="B168" s="239">
        <v>96</v>
      </c>
      <c r="C168" s="137" t="s">
        <v>621</v>
      </c>
      <c r="D168" s="141">
        <v>45560</v>
      </c>
      <c r="E168" s="2" t="s">
        <v>608</v>
      </c>
      <c r="F168" s="98" t="s">
        <v>609</v>
      </c>
      <c r="G168" s="99">
        <v>43965974818</v>
      </c>
      <c r="H168" s="74"/>
      <c r="I168" s="74">
        <v>125.13</v>
      </c>
      <c r="J168" s="113"/>
      <c r="K168" s="100">
        <f t="shared" si="40"/>
        <v>141.39689999999999</v>
      </c>
      <c r="L168" s="95"/>
      <c r="M168" s="95">
        <f t="shared" si="41"/>
        <v>16.2669</v>
      </c>
      <c r="N168" s="64">
        <f t="shared" si="39"/>
        <v>0</v>
      </c>
      <c r="O168" s="64"/>
      <c r="P168" s="95">
        <f t="shared" si="42"/>
        <v>16.2669</v>
      </c>
      <c r="Q168" s="64"/>
      <c r="R168" s="95">
        <f t="shared" si="43"/>
        <v>0</v>
      </c>
      <c r="S168" s="64"/>
    </row>
    <row r="169" spans="1:19" x14ac:dyDescent="0.2">
      <c r="A169" s="190">
        <v>128</v>
      </c>
      <c r="B169" s="239">
        <v>97</v>
      </c>
      <c r="C169" s="137" t="s">
        <v>623</v>
      </c>
      <c r="D169" s="141">
        <v>45560</v>
      </c>
      <c r="E169" s="2" t="s">
        <v>608</v>
      </c>
      <c r="F169" s="98" t="s">
        <v>609</v>
      </c>
      <c r="G169" s="99">
        <v>43965974818</v>
      </c>
      <c r="H169" s="74"/>
      <c r="I169" s="74">
        <v>105.6</v>
      </c>
      <c r="J169" s="113"/>
      <c r="K169" s="100">
        <f t="shared" si="40"/>
        <v>119.32799999999999</v>
      </c>
      <c r="L169" s="95"/>
      <c r="M169" s="95">
        <f t="shared" si="41"/>
        <v>13.728</v>
      </c>
      <c r="N169" s="64">
        <f t="shared" si="39"/>
        <v>0</v>
      </c>
      <c r="O169" s="64"/>
      <c r="P169" s="95">
        <f t="shared" si="42"/>
        <v>13.728</v>
      </c>
      <c r="Q169" s="64"/>
      <c r="R169" s="95">
        <f t="shared" si="43"/>
        <v>0</v>
      </c>
      <c r="S169" s="64"/>
    </row>
    <row r="170" spans="1:19" x14ac:dyDescent="0.2">
      <c r="A170" s="190">
        <v>129</v>
      </c>
      <c r="B170" s="239">
        <v>98</v>
      </c>
      <c r="C170" s="137" t="s">
        <v>622</v>
      </c>
      <c r="D170" s="141">
        <v>45560</v>
      </c>
      <c r="E170" s="2" t="s">
        <v>608</v>
      </c>
      <c r="F170" s="98" t="s">
        <v>609</v>
      </c>
      <c r="G170" s="99">
        <v>43965974818</v>
      </c>
      <c r="H170" s="74"/>
      <c r="I170" s="74">
        <v>40.409999999999997</v>
      </c>
      <c r="J170" s="113"/>
      <c r="K170" s="100">
        <f t="shared" si="40"/>
        <v>45.663299999999992</v>
      </c>
      <c r="L170" s="95"/>
      <c r="M170" s="95">
        <f t="shared" si="41"/>
        <v>5.2532999999999994</v>
      </c>
      <c r="N170" s="64">
        <f t="shared" si="39"/>
        <v>0</v>
      </c>
      <c r="O170" s="64"/>
      <c r="P170" s="95">
        <f t="shared" si="42"/>
        <v>5.2532999999999994</v>
      </c>
      <c r="Q170" s="64"/>
      <c r="R170" s="95">
        <f t="shared" si="43"/>
        <v>0</v>
      </c>
      <c r="S170" s="64"/>
    </row>
    <row r="171" spans="1:19" x14ac:dyDescent="0.2">
      <c r="A171" s="190">
        <v>130</v>
      </c>
      <c r="B171" s="239">
        <v>99</v>
      </c>
      <c r="C171" s="137" t="s">
        <v>634</v>
      </c>
      <c r="D171" s="141">
        <v>45560</v>
      </c>
      <c r="E171" s="2" t="s">
        <v>608</v>
      </c>
      <c r="F171" s="98" t="s">
        <v>609</v>
      </c>
      <c r="G171" s="99">
        <v>43965974818</v>
      </c>
      <c r="H171" s="74"/>
      <c r="I171" s="74">
        <v>84.57</v>
      </c>
      <c r="J171" s="113"/>
      <c r="K171" s="100">
        <f t="shared" si="40"/>
        <v>95.564099999999996</v>
      </c>
      <c r="L171" s="95"/>
      <c r="M171" s="95">
        <f t="shared" si="41"/>
        <v>10.9941</v>
      </c>
      <c r="N171" s="64">
        <f t="shared" si="39"/>
        <v>0</v>
      </c>
      <c r="O171" s="64"/>
      <c r="P171" s="95">
        <f t="shared" si="42"/>
        <v>10.9941</v>
      </c>
      <c r="Q171" s="64"/>
      <c r="R171" s="95">
        <f t="shared" si="43"/>
        <v>0</v>
      </c>
      <c r="S171" s="64"/>
    </row>
    <row r="172" spans="1:19" x14ac:dyDescent="0.2">
      <c r="A172" s="190">
        <v>132</v>
      </c>
      <c r="B172" s="253">
        <v>100</v>
      </c>
      <c r="C172" s="137" t="s">
        <v>621</v>
      </c>
      <c r="D172" s="141">
        <v>45565</v>
      </c>
      <c r="E172" s="2" t="s">
        <v>608</v>
      </c>
      <c r="F172" s="98" t="s">
        <v>609</v>
      </c>
      <c r="G172" s="99">
        <v>43965974818</v>
      </c>
      <c r="H172" s="74"/>
      <c r="I172" s="74">
        <v>15.93</v>
      </c>
      <c r="J172" s="113"/>
      <c r="K172" s="100">
        <f t="shared" si="40"/>
        <v>18.000900000000001</v>
      </c>
      <c r="L172" s="95"/>
      <c r="M172" s="95">
        <f t="shared" si="41"/>
        <v>2.0709</v>
      </c>
      <c r="N172" s="64">
        <f t="shared" si="39"/>
        <v>0</v>
      </c>
      <c r="O172" s="64"/>
      <c r="P172" s="95">
        <f t="shared" si="42"/>
        <v>2.0709</v>
      </c>
      <c r="Q172" s="64"/>
      <c r="R172" s="95">
        <f t="shared" si="43"/>
        <v>0</v>
      </c>
      <c r="S172" s="64"/>
    </row>
    <row r="173" spans="1:19" x14ac:dyDescent="0.2">
      <c r="A173" s="190">
        <v>133</v>
      </c>
      <c r="B173" s="253">
        <v>101</v>
      </c>
      <c r="C173" s="137" t="s">
        <v>623</v>
      </c>
      <c r="D173" s="141">
        <v>45565</v>
      </c>
      <c r="E173" s="2" t="s">
        <v>608</v>
      </c>
      <c r="F173" s="98" t="s">
        <v>609</v>
      </c>
      <c r="G173" s="99">
        <v>43965974818</v>
      </c>
      <c r="H173" s="74"/>
      <c r="I173" s="74">
        <v>14.35</v>
      </c>
      <c r="J173" s="113"/>
      <c r="K173" s="100">
        <f t="shared" si="40"/>
        <v>16.215499999999999</v>
      </c>
      <c r="L173" s="95"/>
      <c r="M173" s="95">
        <f t="shared" si="41"/>
        <v>1.8654999999999999</v>
      </c>
      <c r="N173" s="64">
        <f t="shared" si="39"/>
        <v>0</v>
      </c>
      <c r="O173" s="64"/>
      <c r="P173" s="95">
        <f t="shared" si="42"/>
        <v>1.8654999999999999</v>
      </c>
      <c r="Q173" s="64"/>
      <c r="R173" s="95">
        <f t="shared" si="43"/>
        <v>0</v>
      </c>
      <c r="S173" s="64"/>
    </row>
    <row r="174" spans="1:19" x14ac:dyDescent="0.2">
      <c r="A174" s="190">
        <v>134</v>
      </c>
      <c r="B174" s="253">
        <v>102</v>
      </c>
      <c r="C174" s="137" t="s">
        <v>622</v>
      </c>
      <c r="D174" s="141">
        <v>45565</v>
      </c>
      <c r="E174" s="2" t="s">
        <v>608</v>
      </c>
      <c r="F174" s="98" t="s">
        <v>609</v>
      </c>
      <c r="G174" s="99">
        <v>43965974818</v>
      </c>
      <c r="H174" s="74"/>
      <c r="I174" s="74">
        <v>9.8699999999999992</v>
      </c>
      <c r="J174" s="113"/>
      <c r="K174" s="100">
        <f t="shared" si="40"/>
        <v>11.153099999999998</v>
      </c>
      <c r="L174" s="95"/>
      <c r="M174" s="95">
        <f t="shared" si="41"/>
        <v>1.2830999999999999</v>
      </c>
      <c r="N174" s="64">
        <f t="shared" si="39"/>
        <v>0</v>
      </c>
      <c r="O174" s="64"/>
      <c r="P174" s="95">
        <f t="shared" si="42"/>
        <v>1.2830999999999999</v>
      </c>
      <c r="Q174" s="64"/>
      <c r="R174" s="95">
        <f t="shared" si="43"/>
        <v>0</v>
      </c>
      <c r="S174" s="64"/>
    </row>
    <row r="175" spans="1:19" x14ac:dyDescent="0.2">
      <c r="A175" s="190">
        <v>135</v>
      </c>
      <c r="B175" s="253">
        <v>103</v>
      </c>
      <c r="C175" s="137" t="s">
        <v>634</v>
      </c>
      <c r="D175" s="141">
        <v>45565</v>
      </c>
      <c r="E175" s="2" t="s">
        <v>608</v>
      </c>
      <c r="F175" s="98" t="s">
        <v>609</v>
      </c>
      <c r="G175" s="99">
        <v>43965974818</v>
      </c>
      <c r="H175" s="74"/>
      <c r="I175" s="74">
        <v>16.59</v>
      </c>
      <c r="J175" s="113"/>
      <c r="K175" s="100">
        <f t="shared" si="40"/>
        <v>18.746700000000001</v>
      </c>
      <c r="L175" s="95"/>
      <c r="M175" s="95">
        <f t="shared" si="41"/>
        <v>2.1566999999999998</v>
      </c>
      <c r="N175" s="64">
        <f t="shared" si="39"/>
        <v>0</v>
      </c>
      <c r="O175" s="64"/>
      <c r="P175" s="95">
        <f t="shared" si="42"/>
        <v>2.1566999999999998</v>
      </c>
      <c r="Q175" s="64"/>
      <c r="R175" s="95">
        <f t="shared" si="43"/>
        <v>0</v>
      </c>
      <c r="S175" s="64"/>
    </row>
    <row r="176" spans="1:19" x14ac:dyDescent="0.2">
      <c r="A176" s="190">
        <v>136</v>
      </c>
      <c r="B176" s="253">
        <v>104</v>
      </c>
      <c r="C176" s="137" t="s">
        <v>847</v>
      </c>
      <c r="D176" s="141">
        <v>45565</v>
      </c>
      <c r="E176" s="2" t="s">
        <v>632</v>
      </c>
      <c r="F176" s="98" t="s">
        <v>633</v>
      </c>
      <c r="G176" s="99">
        <v>81793146560</v>
      </c>
      <c r="H176" s="74"/>
      <c r="I176" s="74"/>
      <c r="J176" s="113">
        <v>28.37</v>
      </c>
      <c r="K176" s="100">
        <f t="shared" si="40"/>
        <v>35.462499999999999</v>
      </c>
      <c r="L176" s="95"/>
      <c r="M176" s="95">
        <f t="shared" si="41"/>
        <v>7.0925000000000002</v>
      </c>
      <c r="N176" s="64">
        <f t="shared" si="39"/>
        <v>0</v>
      </c>
      <c r="O176" s="64"/>
      <c r="P176" s="95">
        <f t="shared" si="42"/>
        <v>0</v>
      </c>
      <c r="Q176" s="64"/>
      <c r="R176" s="95">
        <f t="shared" si="43"/>
        <v>7.0925000000000002</v>
      </c>
      <c r="S176" s="64"/>
    </row>
    <row r="177" spans="1:19" x14ac:dyDescent="0.2">
      <c r="A177" s="190">
        <v>137</v>
      </c>
      <c r="B177" s="239">
        <v>105</v>
      </c>
      <c r="C177" s="137" t="s">
        <v>852</v>
      </c>
      <c r="D177" s="141">
        <v>45565</v>
      </c>
      <c r="E177" s="2" t="s">
        <v>589</v>
      </c>
      <c r="F177" s="2" t="s">
        <v>594</v>
      </c>
      <c r="G177" s="99">
        <v>26618043061</v>
      </c>
      <c r="H177" s="74"/>
      <c r="I177" s="74"/>
      <c r="J177" s="113">
        <v>300</v>
      </c>
      <c r="K177" s="100">
        <f t="shared" si="40"/>
        <v>375</v>
      </c>
      <c r="L177" s="95"/>
      <c r="M177" s="95">
        <f t="shared" si="41"/>
        <v>75</v>
      </c>
      <c r="N177" s="64">
        <f t="shared" si="39"/>
        <v>0</v>
      </c>
      <c r="O177" s="64"/>
      <c r="P177" s="95">
        <f t="shared" si="42"/>
        <v>0</v>
      </c>
      <c r="Q177" s="64"/>
      <c r="R177" s="95">
        <f t="shared" si="43"/>
        <v>75</v>
      </c>
      <c r="S177" s="64"/>
    </row>
    <row r="178" spans="1:19" ht="13.5" thickBot="1" x14ac:dyDescent="0.25">
      <c r="B178" s="145"/>
      <c r="C178" s="145"/>
      <c r="D178" s="145"/>
      <c r="E178" s="145"/>
      <c r="F178" s="145"/>
      <c r="G178" s="196"/>
      <c r="H178" s="74"/>
      <c r="I178" s="74"/>
      <c r="J178" s="113"/>
      <c r="K178" s="100">
        <f t="shared" si="40"/>
        <v>0</v>
      </c>
      <c r="L178" s="95"/>
      <c r="M178" s="95">
        <f t="shared" si="41"/>
        <v>0</v>
      </c>
      <c r="N178" s="64">
        <f t="shared" si="39"/>
        <v>0</v>
      </c>
      <c r="O178" s="64"/>
      <c r="P178" s="95">
        <f t="shared" si="42"/>
        <v>0</v>
      </c>
      <c r="Q178" s="64"/>
      <c r="R178" s="95">
        <f t="shared" si="43"/>
        <v>0</v>
      </c>
      <c r="S178" s="64"/>
    </row>
    <row r="179" spans="1:19" x14ac:dyDescent="0.2">
      <c r="A179" s="390"/>
      <c r="B179" s="151"/>
      <c r="C179" s="151"/>
      <c r="D179" s="151"/>
      <c r="E179" s="151"/>
      <c r="F179" s="151"/>
      <c r="G179" s="153"/>
      <c r="H179" s="74"/>
      <c r="I179" s="74"/>
      <c r="J179" s="113"/>
      <c r="K179" s="100">
        <f t="shared" ref="K179:K197" si="44">H179+I179+J179+M179</f>
        <v>0</v>
      </c>
      <c r="L179" s="95"/>
      <c r="M179" s="95">
        <f t="shared" ref="M179:M197" si="45">SUM(N179:S179)</f>
        <v>0</v>
      </c>
      <c r="N179" s="64">
        <f t="shared" si="39"/>
        <v>0</v>
      </c>
      <c r="O179" s="64"/>
      <c r="P179" s="95">
        <f t="shared" ref="P179:P205" si="46">+I179*0.13</f>
        <v>0</v>
      </c>
      <c r="Q179" s="64"/>
      <c r="R179" s="95">
        <f t="shared" ref="R179:R193" si="47">J179*0.25</f>
        <v>0</v>
      </c>
      <c r="S179" s="64"/>
    </row>
    <row r="180" spans="1:19" x14ac:dyDescent="0.2">
      <c r="A180" s="391"/>
      <c r="B180" s="319" t="s">
        <v>851</v>
      </c>
      <c r="C180" s="320"/>
      <c r="D180" s="320"/>
      <c r="E180" s="320"/>
      <c r="F180" s="321"/>
      <c r="G180" s="156"/>
      <c r="H180" s="74"/>
      <c r="I180" s="74"/>
      <c r="J180" s="113"/>
      <c r="K180" s="100">
        <f t="shared" si="44"/>
        <v>0</v>
      </c>
      <c r="L180" s="95"/>
      <c r="M180" s="95">
        <f t="shared" si="45"/>
        <v>0</v>
      </c>
      <c r="N180" s="64">
        <f t="shared" si="39"/>
        <v>0</v>
      </c>
      <c r="O180" s="64"/>
      <c r="P180" s="95">
        <f t="shared" si="46"/>
        <v>0</v>
      </c>
      <c r="Q180" s="64"/>
      <c r="R180" s="95">
        <f t="shared" si="47"/>
        <v>0</v>
      </c>
      <c r="S180" s="64"/>
    </row>
    <row r="181" spans="1:19" ht="13.5" thickBot="1" x14ac:dyDescent="0.25">
      <c r="A181" s="392"/>
      <c r="B181" s="160"/>
      <c r="C181" s="160"/>
      <c r="D181" s="160"/>
      <c r="E181" s="160"/>
      <c r="F181" s="160"/>
      <c r="G181" s="204"/>
      <c r="H181" s="74"/>
      <c r="I181" s="74"/>
      <c r="J181" s="113"/>
      <c r="K181" s="100">
        <f t="shared" si="44"/>
        <v>0</v>
      </c>
      <c r="L181" s="95"/>
      <c r="M181" s="95">
        <f t="shared" si="45"/>
        <v>0</v>
      </c>
      <c r="N181" s="64">
        <f t="shared" si="39"/>
        <v>0</v>
      </c>
      <c r="O181" s="64"/>
      <c r="P181" s="95">
        <f t="shared" si="46"/>
        <v>0</v>
      </c>
      <c r="Q181" s="64"/>
      <c r="R181" s="95">
        <f t="shared" si="47"/>
        <v>0</v>
      </c>
      <c r="S181" s="64"/>
    </row>
    <row r="182" spans="1:19" x14ac:dyDescent="0.2">
      <c r="B182" s="154"/>
      <c r="C182" s="154"/>
      <c r="D182" s="154"/>
      <c r="E182" s="154"/>
      <c r="F182" s="154"/>
      <c r="G182" s="156"/>
      <c r="H182" s="74"/>
      <c r="I182" s="74"/>
      <c r="J182" s="113"/>
      <c r="K182" s="100">
        <f t="shared" si="44"/>
        <v>0</v>
      </c>
      <c r="L182" s="95"/>
      <c r="M182" s="95">
        <f t="shared" si="45"/>
        <v>0</v>
      </c>
      <c r="N182" s="64">
        <f t="shared" si="39"/>
        <v>0</v>
      </c>
      <c r="O182" s="64"/>
      <c r="P182" s="95">
        <f t="shared" si="46"/>
        <v>0</v>
      </c>
      <c r="Q182" s="64"/>
      <c r="R182" s="95">
        <f t="shared" si="47"/>
        <v>0</v>
      </c>
      <c r="S182" s="64"/>
    </row>
    <row r="183" spans="1:19" x14ac:dyDescent="0.2">
      <c r="A183" s="205">
        <v>138</v>
      </c>
      <c r="B183" s="5">
        <v>106</v>
      </c>
      <c r="C183" s="2" t="s">
        <v>854</v>
      </c>
      <c r="D183" s="39">
        <v>45536</v>
      </c>
      <c r="E183" s="2" t="s">
        <v>855</v>
      </c>
      <c r="F183" s="2" t="s">
        <v>856</v>
      </c>
      <c r="G183" s="156">
        <v>68419124305</v>
      </c>
      <c r="H183" s="74"/>
      <c r="I183" s="74"/>
      <c r="J183" s="113"/>
      <c r="K183" s="100">
        <v>42.48</v>
      </c>
      <c r="L183" s="95"/>
      <c r="M183" s="95">
        <f t="shared" si="45"/>
        <v>0</v>
      </c>
      <c r="N183" s="64">
        <f t="shared" si="39"/>
        <v>0</v>
      </c>
      <c r="O183" s="64"/>
      <c r="P183" s="95">
        <f t="shared" si="46"/>
        <v>0</v>
      </c>
      <c r="Q183" s="64"/>
      <c r="R183" s="95">
        <f t="shared" si="47"/>
        <v>0</v>
      </c>
      <c r="S183" s="64"/>
    </row>
    <row r="184" spans="1:19" x14ac:dyDescent="0.2">
      <c r="A184" s="205">
        <v>139</v>
      </c>
      <c r="B184" s="5">
        <v>107</v>
      </c>
      <c r="C184" s="2" t="s">
        <v>857</v>
      </c>
      <c r="D184" s="39">
        <v>45565</v>
      </c>
      <c r="E184" s="2" t="s">
        <v>587</v>
      </c>
      <c r="F184" s="98" t="s">
        <v>607</v>
      </c>
      <c r="G184" s="99">
        <v>51260824290</v>
      </c>
      <c r="H184" s="74"/>
      <c r="I184" s="74">
        <v>3.32</v>
      </c>
      <c r="J184" s="113"/>
      <c r="K184" s="100">
        <f t="shared" si="44"/>
        <v>3.7515999999999998</v>
      </c>
      <c r="L184" s="95"/>
      <c r="M184" s="95">
        <f t="shared" si="45"/>
        <v>0.43159999999999998</v>
      </c>
      <c r="N184" s="64">
        <f t="shared" si="39"/>
        <v>0</v>
      </c>
      <c r="O184" s="64"/>
      <c r="P184" s="95">
        <f t="shared" si="46"/>
        <v>0.43159999999999998</v>
      </c>
      <c r="Q184" s="64"/>
      <c r="R184" s="95">
        <f t="shared" si="47"/>
        <v>0</v>
      </c>
      <c r="S184" s="64"/>
    </row>
    <row r="185" spans="1:19" x14ac:dyDescent="0.2">
      <c r="A185" s="205">
        <v>140</v>
      </c>
      <c r="B185" s="5">
        <v>108</v>
      </c>
      <c r="C185" s="2" t="s">
        <v>858</v>
      </c>
      <c r="D185" s="39">
        <v>45565</v>
      </c>
      <c r="E185" s="2" t="s">
        <v>587</v>
      </c>
      <c r="F185" s="98" t="s">
        <v>607</v>
      </c>
      <c r="G185" s="99">
        <v>51260824290</v>
      </c>
      <c r="H185" s="74"/>
      <c r="I185" s="74">
        <v>3.32</v>
      </c>
      <c r="J185" s="113"/>
      <c r="K185" s="100">
        <f t="shared" si="44"/>
        <v>3.7515999999999998</v>
      </c>
      <c r="L185" s="95"/>
      <c r="M185" s="95">
        <f t="shared" si="45"/>
        <v>0.43159999999999998</v>
      </c>
      <c r="N185" s="64">
        <f t="shared" si="39"/>
        <v>0</v>
      </c>
      <c r="O185" s="64"/>
      <c r="P185" s="95">
        <f t="shared" si="46"/>
        <v>0.43159999999999998</v>
      </c>
      <c r="Q185" s="64"/>
      <c r="R185" s="95">
        <f t="shared" si="47"/>
        <v>0</v>
      </c>
      <c r="S185" s="64"/>
    </row>
    <row r="186" spans="1:19" x14ac:dyDescent="0.2">
      <c r="A186" s="205">
        <v>141</v>
      </c>
      <c r="B186" s="5">
        <v>109</v>
      </c>
      <c r="C186" s="2" t="s">
        <v>859</v>
      </c>
      <c r="D186" s="39">
        <v>45565</v>
      </c>
      <c r="E186" s="2" t="s">
        <v>587</v>
      </c>
      <c r="F186" s="98" t="s">
        <v>607</v>
      </c>
      <c r="G186" s="99">
        <v>51260824290</v>
      </c>
      <c r="H186" s="74"/>
      <c r="I186" s="74">
        <v>3.32</v>
      </c>
      <c r="J186" s="113"/>
      <c r="K186" s="100">
        <f t="shared" si="44"/>
        <v>3.7515999999999998</v>
      </c>
      <c r="L186" s="95"/>
      <c r="M186" s="95">
        <f t="shared" si="45"/>
        <v>0.43159999999999998</v>
      </c>
      <c r="N186" s="64">
        <f t="shared" si="39"/>
        <v>0</v>
      </c>
      <c r="O186" s="64"/>
      <c r="P186" s="95">
        <f t="shared" si="46"/>
        <v>0.43159999999999998</v>
      </c>
      <c r="Q186" s="64"/>
      <c r="R186" s="95">
        <f t="shared" si="47"/>
        <v>0</v>
      </c>
      <c r="S186" s="64"/>
    </row>
    <row r="187" spans="1:19" x14ac:dyDescent="0.2">
      <c r="A187" s="205">
        <v>142</v>
      </c>
      <c r="B187" s="5">
        <v>110</v>
      </c>
      <c r="C187" s="2" t="s">
        <v>857</v>
      </c>
      <c r="D187" s="39">
        <v>45565</v>
      </c>
      <c r="E187" s="2" t="s">
        <v>588</v>
      </c>
      <c r="F187" s="240" t="s">
        <v>595</v>
      </c>
      <c r="G187" s="99">
        <v>77465071491</v>
      </c>
      <c r="H187" s="74"/>
      <c r="I187" s="74">
        <v>15.93</v>
      </c>
      <c r="J187" s="113"/>
      <c r="K187" s="100">
        <f t="shared" si="44"/>
        <v>18.000900000000001</v>
      </c>
      <c r="L187" s="95"/>
      <c r="M187" s="95">
        <f t="shared" si="45"/>
        <v>2.0709</v>
      </c>
      <c r="N187" s="64">
        <f t="shared" si="39"/>
        <v>0</v>
      </c>
      <c r="O187" s="64"/>
      <c r="P187" s="95">
        <f t="shared" si="46"/>
        <v>2.0709</v>
      </c>
      <c r="Q187" s="64"/>
      <c r="R187" s="95">
        <f t="shared" si="47"/>
        <v>0</v>
      </c>
      <c r="S187" s="64"/>
    </row>
    <row r="188" spans="1:19" x14ac:dyDescent="0.2">
      <c r="A188" s="205">
        <v>143</v>
      </c>
      <c r="B188" s="5">
        <v>111</v>
      </c>
      <c r="C188" s="2" t="s">
        <v>860</v>
      </c>
      <c r="D188" s="39">
        <v>45566</v>
      </c>
      <c r="E188" s="2" t="s">
        <v>855</v>
      </c>
      <c r="F188" s="2" t="s">
        <v>856</v>
      </c>
      <c r="G188" s="156">
        <v>68419124305</v>
      </c>
      <c r="H188" s="74"/>
      <c r="I188" s="74"/>
      <c r="J188" s="113"/>
      <c r="K188" s="100">
        <v>42.48</v>
      </c>
      <c r="L188" s="95"/>
      <c r="M188" s="95">
        <f t="shared" si="45"/>
        <v>0</v>
      </c>
      <c r="N188" s="64">
        <f t="shared" si="39"/>
        <v>0</v>
      </c>
      <c r="O188" s="64"/>
      <c r="P188" s="95">
        <f t="shared" si="46"/>
        <v>0</v>
      </c>
      <c r="Q188" s="64"/>
      <c r="R188" s="95">
        <f t="shared" si="47"/>
        <v>0</v>
      </c>
      <c r="S188" s="64"/>
    </row>
    <row r="189" spans="1:19" x14ac:dyDescent="0.2">
      <c r="A189" s="205">
        <v>144</v>
      </c>
      <c r="B189" s="5">
        <v>112</v>
      </c>
      <c r="C189" s="2" t="s">
        <v>861</v>
      </c>
      <c r="D189" s="39">
        <v>45596</v>
      </c>
      <c r="E189" s="2" t="s">
        <v>587</v>
      </c>
      <c r="F189" s="98" t="s">
        <v>607</v>
      </c>
      <c r="G189" s="99">
        <v>51260824290</v>
      </c>
      <c r="H189" s="74"/>
      <c r="I189" s="74">
        <v>3.32</v>
      </c>
      <c r="J189" s="113"/>
      <c r="K189" s="100">
        <f t="shared" si="44"/>
        <v>3.7515999999999998</v>
      </c>
      <c r="L189" s="95"/>
      <c r="M189" s="95">
        <f t="shared" si="45"/>
        <v>0.43159999999999998</v>
      </c>
      <c r="N189" s="64">
        <f t="shared" si="39"/>
        <v>0</v>
      </c>
      <c r="O189" s="64"/>
      <c r="P189" s="95">
        <f t="shared" si="46"/>
        <v>0.43159999999999998</v>
      </c>
      <c r="Q189" s="64"/>
      <c r="R189" s="95">
        <f t="shared" si="47"/>
        <v>0</v>
      </c>
      <c r="S189" s="64"/>
    </row>
    <row r="190" spans="1:19" x14ac:dyDescent="0.2">
      <c r="A190" s="205">
        <v>145</v>
      </c>
      <c r="B190" s="5">
        <v>113</v>
      </c>
      <c r="C190" s="2" t="s">
        <v>862</v>
      </c>
      <c r="D190" s="39">
        <v>45596</v>
      </c>
      <c r="E190" s="2" t="s">
        <v>587</v>
      </c>
      <c r="F190" s="98" t="s">
        <v>607</v>
      </c>
      <c r="G190" s="99">
        <v>51260824290</v>
      </c>
      <c r="H190" s="74"/>
      <c r="I190" s="74">
        <v>3.32</v>
      </c>
      <c r="J190" s="113"/>
      <c r="K190" s="100">
        <f t="shared" si="44"/>
        <v>3.7515999999999998</v>
      </c>
      <c r="L190" s="95"/>
      <c r="M190" s="95">
        <f t="shared" si="45"/>
        <v>0.43159999999999998</v>
      </c>
      <c r="N190" s="64">
        <f t="shared" si="39"/>
        <v>0</v>
      </c>
      <c r="O190" s="64"/>
      <c r="P190" s="95">
        <f t="shared" si="46"/>
        <v>0.43159999999999998</v>
      </c>
      <c r="Q190" s="64"/>
      <c r="R190" s="95">
        <f t="shared" si="47"/>
        <v>0</v>
      </c>
      <c r="S190" s="64"/>
    </row>
    <row r="191" spans="1:19" x14ac:dyDescent="0.2">
      <c r="A191" s="205">
        <v>146</v>
      </c>
      <c r="B191" s="5">
        <v>114</v>
      </c>
      <c r="C191" s="2" t="s">
        <v>863</v>
      </c>
      <c r="D191" s="39">
        <v>45596</v>
      </c>
      <c r="E191" s="2" t="s">
        <v>587</v>
      </c>
      <c r="F191" s="98" t="s">
        <v>607</v>
      </c>
      <c r="G191" s="99">
        <v>51260824290</v>
      </c>
      <c r="H191" s="74"/>
      <c r="I191" s="74">
        <v>3.32</v>
      </c>
      <c r="J191" s="113"/>
      <c r="K191" s="100">
        <f t="shared" si="44"/>
        <v>3.7515999999999998</v>
      </c>
      <c r="L191" s="95"/>
      <c r="M191" s="95">
        <f t="shared" si="45"/>
        <v>0.43159999999999998</v>
      </c>
      <c r="N191" s="64">
        <f t="shared" si="39"/>
        <v>0</v>
      </c>
      <c r="O191" s="64"/>
      <c r="P191" s="95">
        <f t="shared" si="46"/>
        <v>0.43159999999999998</v>
      </c>
      <c r="Q191" s="64"/>
      <c r="R191" s="95">
        <f t="shared" si="47"/>
        <v>0</v>
      </c>
      <c r="S191" s="64"/>
    </row>
    <row r="192" spans="1:19" x14ac:dyDescent="0.2">
      <c r="A192" s="205">
        <v>147</v>
      </c>
      <c r="B192" s="5">
        <v>115</v>
      </c>
      <c r="C192" s="2" t="s">
        <v>861</v>
      </c>
      <c r="D192" s="39">
        <v>45596</v>
      </c>
      <c r="E192" s="2" t="s">
        <v>588</v>
      </c>
      <c r="F192" s="240" t="s">
        <v>595</v>
      </c>
      <c r="G192" s="99">
        <v>77465071491</v>
      </c>
      <c r="H192" s="74"/>
      <c r="I192" s="74">
        <v>15.93</v>
      </c>
      <c r="J192" s="113"/>
      <c r="K192" s="100">
        <f t="shared" si="44"/>
        <v>18.000900000000001</v>
      </c>
      <c r="L192" s="95"/>
      <c r="M192" s="95">
        <f t="shared" si="45"/>
        <v>2.0709</v>
      </c>
      <c r="N192" s="64">
        <f t="shared" si="39"/>
        <v>0</v>
      </c>
      <c r="O192" s="64"/>
      <c r="P192" s="95">
        <f t="shared" si="46"/>
        <v>2.0709</v>
      </c>
      <c r="Q192" s="64"/>
      <c r="R192" s="95">
        <f t="shared" si="47"/>
        <v>0</v>
      </c>
      <c r="S192" s="64"/>
    </row>
    <row r="193" spans="1:19" x14ac:dyDescent="0.2">
      <c r="A193" s="205">
        <v>148</v>
      </c>
      <c r="B193" s="5">
        <v>116</v>
      </c>
      <c r="C193" s="2" t="s">
        <v>864</v>
      </c>
      <c r="D193" s="39">
        <v>45596</v>
      </c>
      <c r="E193" s="2" t="s">
        <v>589</v>
      </c>
      <c r="F193" s="2" t="s">
        <v>594</v>
      </c>
      <c r="G193" s="99">
        <v>26618043061</v>
      </c>
      <c r="H193" s="74"/>
      <c r="I193" s="74"/>
      <c r="J193" s="113">
        <v>410</v>
      </c>
      <c r="K193" s="100">
        <f t="shared" si="44"/>
        <v>512.5</v>
      </c>
      <c r="L193" s="95"/>
      <c r="M193" s="95">
        <f t="shared" si="45"/>
        <v>102.5</v>
      </c>
      <c r="N193" s="64">
        <f t="shared" si="39"/>
        <v>0</v>
      </c>
      <c r="O193" s="64"/>
      <c r="P193" s="95">
        <f t="shared" si="46"/>
        <v>0</v>
      </c>
      <c r="Q193" s="64"/>
      <c r="R193" s="95">
        <f t="shared" si="47"/>
        <v>102.5</v>
      </c>
      <c r="S193" s="64"/>
    </row>
    <row r="194" spans="1:19" x14ac:dyDescent="0.2">
      <c r="A194" s="205">
        <v>149</v>
      </c>
      <c r="B194" s="5">
        <v>117</v>
      </c>
      <c r="C194" s="2" t="s">
        <v>865</v>
      </c>
      <c r="D194" s="39">
        <v>45596</v>
      </c>
      <c r="E194" s="2" t="s">
        <v>632</v>
      </c>
      <c r="F194" s="98" t="s">
        <v>633</v>
      </c>
      <c r="G194" s="99">
        <v>81793146560</v>
      </c>
      <c r="H194" s="74"/>
      <c r="I194" s="74"/>
      <c r="J194" s="113">
        <v>28.37</v>
      </c>
      <c r="K194" s="100">
        <f t="shared" si="44"/>
        <v>35.462499999999999</v>
      </c>
      <c r="L194" s="95"/>
      <c r="M194" s="95">
        <f t="shared" si="45"/>
        <v>7.0925000000000002</v>
      </c>
      <c r="N194" s="64">
        <f t="shared" si="39"/>
        <v>0</v>
      </c>
      <c r="O194" s="64"/>
      <c r="P194" s="95">
        <f t="shared" si="46"/>
        <v>0</v>
      </c>
      <c r="Q194" s="64"/>
      <c r="R194" s="95">
        <f>J194*0.25</f>
        <v>7.0925000000000002</v>
      </c>
      <c r="S194" s="64"/>
    </row>
    <row r="195" spans="1:19" x14ac:dyDescent="0.2">
      <c r="A195" s="205">
        <v>151</v>
      </c>
      <c r="B195" s="5">
        <v>118</v>
      </c>
      <c r="C195" s="2" t="s">
        <v>866</v>
      </c>
      <c r="D195" s="39">
        <v>45596</v>
      </c>
      <c r="E195" s="2" t="s">
        <v>608</v>
      </c>
      <c r="F195" s="98" t="s">
        <v>609</v>
      </c>
      <c r="G195" s="99">
        <v>43965974818</v>
      </c>
      <c r="H195" s="74"/>
      <c r="I195" s="74">
        <v>2.52</v>
      </c>
      <c r="J195" s="113"/>
      <c r="K195" s="100">
        <f t="shared" si="44"/>
        <v>2.8475999999999999</v>
      </c>
      <c r="L195" s="95"/>
      <c r="M195" s="95">
        <f t="shared" si="45"/>
        <v>0.3276</v>
      </c>
      <c r="N195" s="64">
        <f t="shared" si="39"/>
        <v>0</v>
      </c>
      <c r="O195" s="64"/>
      <c r="P195" s="95">
        <f t="shared" si="46"/>
        <v>0.3276</v>
      </c>
      <c r="Q195" s="64"/>
      <c r="R195" s="95">
        <f t="shared" ref="R195:R205" si="48">J195*0.25</f>
        <v>0</v>
      </c>
      <c r="S195" s="64"/>
    </row>
    <row r="196" spans="1:19" x14ac:dyDescent="0.2">
      <c r="A196" s="205">
        <v>152</v>
      </c>
      <c r="B196" s="5">
        <v>119</v>
      </c>
      <c r="C196" s="2" t="s">
        <v>867</v>
      </c>
      <c r="D196" s="39">
        <v>45596</v>
      </c>
      <c r="E196" s="2" t="s">
        <v>608</v>
      </c>
      <c r="F196" s="98" t="s">
        <v>609</v>
      </c>
      <c r="G196" s="99">
        <v>43965974818</v>
      </c>
      <c r="H196" s="74"/>
      <c r="I196" s="74">
        <v>3.3</v>
      </c>
      <c r="J196" s="113"/>
      <c r="K196" s="100">
        <f t="shared" si="44"/>
        <v>3.7289999999999996</v>
      </c>
      <c r="L196" s="95"/>
      <c r="M196" s="95">
        <f t="shared" si="45"/>
        <v>0.42899999999999999</v>
      </c>
      <c r="N196" s="64">
        <f t="shared" si="39"/>
        <v>0</v>
      </c>
      <c r="O196" s="64"/>
      <c r="P196" s="95">
        <f>+I196*0.13</f>
        <v>0.42899999999999999</v>
      </c>
      <c r="Q196" s="64"/>
      <c r="R196" s="95">
        <f t="shared" si="48"/>
        <v>0</v>
      </c>
      <c r="S196" s="64"/>
    </row>
    <row r="197" spans="1:19" x14ac:dyDescent="0.2">
      <c r="A197" s="205">
        <v>153</v>
      </c>
      <c r="B197" s="5">
        <v>120</v>
      </c>
      <c r="C197" s="2" t="s">
        <v>868</v>
      </c>
      <c r="D197" s="39">
        <v>45596</v>
      </c>
      <c r="E197" s="2" t="s">
        <v>608</v>
      </c>
      <c r="F197" s="98" t="s">
        <v>609</v>
      </c>
      <c r="G197" s="99">
        <v>43965974818</v>
      </c>
      <c r="H197" s="74"/>
      <c r="I197" s="74">
        <v>2.52</v>
      </c>
      <c r="J197" s="113"/>
      <c r="K197" s="100">
        <f t="shared" si="44"/>
        <v>2.8475999999999999</v>
      </c>
      <c r="L197" s="95"/>
      <c r="M197" s="95">
        <f t="shared" si="45"/>
        <v>0.3276</v>
      </c>
      <c r="N197" s="64">
        <f t="shared" si="39"/>
        <v>0</v>
      </c>
      <c r="O197" s="64"/>
      <c r="P197" s="95">
        <f t="shared" si="46"/>
        <v>0.3276</v>
      </c>
      <c r="Q197" s="64"/>
      <c r="R197" s="95">
        <f t="shared" si="48"/>
        <v>0</v>
      </c>
      <c r="S197" s="64"/>
    </row>
    <row r="198" spans="1:19" x14ac:dyDescent="0.2">
      <c r="A198" s="205">
        <v>154</v>
      </c>
      <c r="B198" s="5">
        <v>121</v>
      </c>
      <c r="C198" s="2" t="s">
        <v>869</v>
      </c>
      <c r="D198" s="39">
        <v>45596</v>
      </c>
      <c r="E198" s="2" t="s">
        <v>608</v>
      </c>
      <c r="F198" s="98" t="s">
        <v>609</v>
      </c>
      <c r="G198" s="99">
        <v>43965974818</v>
      </c>
      <c r="H198" s="74"/>
      <c r="I198" s="74">
        <v>4.3600000000000003</v>
      </c>
      <c r="J198" s="113"/>
      <c r="K198" s="100">
        <f>H198+I198+J198+M198</f>
        <v>4.9268000000000001</v>
      </c>
      <c r="L198" s="95"/>
      <c r="M198" s="95">
        <f>SUM(N198:S198)</f>
        <v>0.56680000000000008</v>
      </c>
      <c r="N198" s="64">
        <f t="shared" si="39"/>
        <v>0</v>
      </c>
      <c r="O198" s="64"/>
      <c r="P198" s="95">
        <f t="shared" si="46"/>
        <v>0.56680000000000008</v>
      </c>
      <c r="Q198" s="64"/>
      <c r="R198" s="95">
        <f t="shared" si="48"/>
        <v>0</v>
      </c>
      <c r="S198" s="64"/>
    </row>
    <row r="199" spans="1:19" x14ac:dyDescent="0.2">
      <c r="A199" s="205">
        <v>155</v>
      </c>
      <c r="B199" s="5">
        <v>122</v>
      </c>
      <c r="C199" s="2" t="s">
        <v>870</v>
      </c>
      <c r="D199" s="39">
        <v>45597</v>
      </c>
      <c r="E199" s="2" t="s">
        <v>855</v>
      </c>
      <c r="F199" s="2" t="s">
        <v>856</v>
      </c>
      <c r="G199" s="156">
        <v>68419124305</v>
      </c>
      <c r="H199" s="74"/>
      <c r="I199" s="74"/>
      <c r="J199" s="113"/>
      <c r="K199" s="100">
        <v>10.62</v>
      </c>
      <c r="L199" s="95"/>
      <c r="M199" s="95">
        <f t="shared" ref="M199:M205" si="49">SUM(N199:S199)</f>
        <v>0</v>
      </c>
      <c r="N199" s="64">
        <f t="shared" si="39"/>
        <v>0</v>
      </c>
      <c r="O199" s="64"/>
      <c r="P199" s="95">
        <f t="shared" si="46"/>
        <v>0</v>
      </c>
      <c r="Q199" s="64"/>
      <c r="R199" s="95">
        <f t="shared" si="48"/>
        <v>0</v>
      </c>
      <c r="S199" s="64"/>
    </row>
    <row r="200" spans="1:19" x14ac:dyDescent="0.2">
      <c r="A200" s="205">
        <v>157</v>
      </c>
      <c r="B200" s="5">
        <v>123</v>
      </c>
      <c r="C200" s="2" t="s">
        <v>871</v>
      </c>
      <c r="D200" s="39">
        <v>45626</v>
      </c>
      <c r="E200" s="2" t="s">
        <v>587</v>
      </c>
      <c r="F200" s="98" t="s">
        <v>607</v>
      </c>
      <c r="G200" s="99">
        <v>51260824290</v>
      </c>
      <c r="H200" s="5"/>
      <c r="I200" s="5">
        <v>3.32</v>
      </c>
      <c r="J200" s="5"/>
      <c r="K200" s="100">
        <f t="shared" ref="K200:K205" si="50">H200+I200+J200+M200</f>
        <v>3.7515999999999998</v>
      </c>
      <c r="L200" s="2"/>
      <c r="M200" s="95">
        <f t="shared" si="49"/>
        <v>0.43159999999999998</v>
      </c>
      <c r="N200" s="64">
        <f t="shared" si="39"/>
        <v>0</v>
      </c>
      <c r="O200" s="2"/>
      <c r="P200" s="95">
        <f t="shared" si="46"/>
        <v>0.43159999999999998</v>
      </c>
      <c r="Q200" s="2"/>
      <c r="R200" s="95">
        <f t="shared" si="48"/>
        <v>0</v>
      </c>
      <c r="S200" s="2"/>
    </row>
    <row r="201" spans="1:19" x14ac:dyDescent="0.2">
      <c r="A201" s="205">
        <v>158</v>
      </c>
      <c r="B201" s="5">
        <v>124</v>
      </c>
      <c r="C201" s="2" t="s">
        <v>872</v>
      </c>
      <c r="D201" s="39">
        <v>45626</v>
      </c>
      <c r="E201" s="2" t="s">
        <v>587</v>
      </c>
      <c r="F201" s="98" t="s">
        <v>607</v>
      </c>
      <c r="G201" s="99">
        <v>51260824290</v>
      </c>
      <c r="H201" s="5"/>
      <c r="I201" s="5">
        <v>3.32</v>
      </c>
      <c r="J201" s="5"/>
      <c r="K201" s="100">
        <f>H201+I201+J201+M201</f>
        <v>3.7515999999999998</v>
      </c>
      <c r="L201" s="2"/>
      <c r="M201" s="95">
        <f t="shared" si="49"/>
        <v>0.43159999999999998</v>
      </c>
      <c r="N201" s="64">
        <f t="shared" si="39"/>
        <v>0</v>
      </c>
      <c r="O201" s="2"/>
      <c r="P201" s="95">
        <f t="shared" si="46"/>
        <v>0.43159999999999998</v>
      </c>
      <c r="Q201" s="2"/>
      <c r="R201" s="95">
        <f t="shared" si="48"/>
        <v>0</v>
      </c>
      <c r="S201" s="2"/>
    </row>
    <row r="202" spans="1:19" x14ac:dyDescent="0.2">
      <c r="A202" s="205">
        <v>159</v>
      </c>
      <c r="B202" s="5">
        <v>125</v>
      </c>
      <c r="C202" s="2" t="s">
        <v>873</v>
      </c>
      <c r="D202" s="39">
        <v>45626</v>
      </c>
      <c r="E202" s="2" t="s">
        <v>587</v>
      </c>
      <c r="F202" s="98" t="s">
        <v>607</v>
      </c>
      <c r="G202" s="99">
        <v>51260824290</v>
      </c>
      <c r="H202" s="5"/>
      <c r="I202" s="5">
        <v>3.32</v>
      </c>
      <c r="J202" s="5"/>
      <c r="K202" s="100">
        <f>H202+I202+J202+M202</f>
        <v>3.7515999999999998</v>
      </c>
      <c r="L202" s="2"/>
      <c r="M202" s="95">
        <f t="shared" si="49"/>
        <v>0.43159999999999998</v>
      </c>
      <c r="N202" s="64">
        <f t="shared" si="39"/>
        <v>0</v>
      </c>
      <c r="O202" s="2"/>
      <c r="P202" s="95">
        <f t="shared" si="46"/>
        <v>0.43159999999999998</v>
      </c>
      <c r="Q202" s="2"/>
      <c r="R202" s="95">
        <f t="shared" si="48"/>
        <v>0</v>
      </c>
      <c r="S202" s="2"/>
    </row>
    <row r="203" spans="1:19" x14ac:dyDescent="0.2">
      <c r="A203" s="205">
        <v>160</v>
      </c>
      <c r="B203" s="5">
        <v>126</v>
      </c>
      <c r="C203" s="2" t="s">
        <v>873</v>
      </c>
      <c r="D203" s="39">
        <v>45626</v>
      </c>
      <c r="E203" s="2" t="s">
        <v>588</v>
      </c>
      <c r="F203" s="240" t="s">
        <v>595</v>
      </c>
      <c r="G203" s="99">
        <v>77465071491</v>
      </c>
      <c r="H203" s="5"/>
      <c r="I203" s="5">
        <v>15.93</v>
      </c>
      <c r="J203" s="5"/>
      <c r="K203" s="100">
        <f t="shared" si="50"/>
        <v>18.000900000000001</v>
      </c>
      <c r="L203" s="2"/>
      <c r="M203" s="95">
        <f t="shared" si="49"/>
        <v>2.0709</v>
      </c>
      <c r="N203" s="64">
        <f t="shared" si="39"/>
        <v>0</v>
      </c>
      <c r="O203" s="2"/>
      <c r="P203" s="95">
        <f t="shared" si="46"/>
        <v>2.0709</v>
      </c>
      <c r="Q203" s="2"/>
      <c r="R203" s="95">
        <f t="shared" si="48"/>
        <v>0</v>
      </c>
      <c r="S203" s="2"/>
    </row>
    <row r="204" spans="1:19" x14ac:dyDescent="0.2">
      <c r="A204" s="205">
        <v>161</v>
      </c>
      <c r="B204" s="5">
        <v>127</v>
      </c>
      <c r="C204" s="2" t="s">
        <v>874</v>
      </c>
      <c r="D204" s="39">
        <v>45626</v>
      </c>
      <c r="E204" s="2" t="s">
        <v>632</v>
      </c>
      <c r="F204" s="98" t="s">
        <v>633</v>
      </c>
      <c r="G204" s="99">
        <v>81793146560</v>
      </c>
      <c r="H204" s="5"/>
      <c r="I204" s="5"/>
      <c r="J204" s="5">
        <v>28.37</v>
      </c>
      <c r="K204" s="100">
        <f t="shared" si="50"/>
        <v>35.462499999999999</v>
      </c>
      <c r="L204" s="2"/>
      <c r="M204" s="95">
        <f t="shared" si="49"/>
        <v>7.0925000000000002</v>
      </c>
      <c r="N204" s="64">
        <f t="shared" si="39"/>
        <v>0</v>
      </c>
      <c r="O204" s="2"/>
      <c r="P204" s="95">
        <f t="shared" si="46"/>
        <v>0</v>
      </c>
      <c r="Q204" s="2"/>
      <c r="R204" s="95">
        <f t="shared" si="48"/>
        <v>7.0925000000000002</v>
      </c>
      <c r="S204" s="2"/>
    </row>
    <row r="205" spans="1:19" x14ac:dyDescent="0.2">
      <c r="A205" s="205">
        <v>162</v>
      </c>
      <c r="B205" s="5">
        <v>128</v>
      </c>
      <c r="C205" s="2" t="s">
        <v>875</v>
      </c>
      <c r="D205" s="39">
        <v>45626</v>
      </c>
      <c r="E205" s="2" t="s">
        <v>589</v>
      </c>
      <c r="F205" s="2" t="s">
        <v>594</v>
      </c>
      <c r="G205" s="99">
        <v>26618043061</v>
      </c>
      <c r="H205" s="5"/>
      <c r="I205" s="5"/>
      <c r="J205" s="5">
        <v>50</v>
      </c>
      <c r="K205" s="100">
        <f t="shared" si="50"/>
        <v>62.5</v>
      </c>
      <c r="L205" s="2"/>
      <c r="M205" s="95">
        <f t="shared" si="49"/>
        <v>12.5</v>
      </c>
      <c r="N205" s="64">
        <f t="shared" si="39"/>
        <v>0</v>
      </c>
      <c r="O205" s="2"/>
      <c r="P205" s="95">
        <f t="shared" si="46"/>
        <v>0</v>
      </c>
      <c r="Q205" s="2"/>
      <c r="R205" s="95">
        <f t="shared" si="48"/>
        <v>12.5</v>
      </c>
      <c r="S205" s="2"/>
    </row>
    <row r="206" spans="1:19" x14ac:dyDescent="0.2">
      <c r="A206" s="205">
        <v>163</v>
      </c>
      <c r="B206" s="5">
        <v>129</v>
      </c>
      <c r="C206" s="2" t="s">
        <v>876</v>
      </c>
      <c r="D206" s="39">
        <v>45626</v>
      </c>
      <c r="E206" s="2" t="s">
        <v>608</v>
      </c>
      <c r="F206" s="98" t="s">
        <v>609</v>
      </c>
      <c r="G206" s="99">
        <v>43965974818</v>
      </c>
      <c r="H206" s="5"/>
      <c r="I206" s="5">
        <v>2.52</v>
      </c>
      <c r="J206" s="5"/>
      <c r="K206" s="100">
        <f>H206+I206+J206+M206</f>
        <v>2.8475999999999999</v>
      </c>
      <c r="L206" s="2"/>
      <c r="M206" s="95">
        <f>SUM(N206:S206)</f>
        <v>0.3276</v>
      </c>
      <c r="N206" s="64">
        <f t="shared" si="39"/>
        <v>0</v>
      </c>
      <c r="O206" s="2"/>
      <c r="P206" s="95">
        <f>+I206*0.13</f>
        <v>0.3276</v>
      </c>
      <c r="Q206" s="2"/>
      <c r="R206" s="95">
        <f>J206*0.25</f>
        <v>0</v>
      </c>
      <c r="S206" s="2"/>
    </row>
    <row r="207" spans="1:19" x14ac:dyDescent="0.2">
      <c r="A207" s="205">
        <v>164</v>
      </c>
      <c r="B207" s="5">
        <v>130</v>
      </c>
      <c r="C207" s="2" t="s">
        <v>877</v>
      </c>
      <c r="D207" s="39">
        <v>45626</v>
      </c>
      <c r="E207" s="2" t="s">
        <v>608</v>
      </c>
      <c r="F207" s="98" t="s">
        <v>609</v>
      </c>
      <c r="G207" s="99">
        <v>43965974818</v>
      </c>
      <c r="H207" s="5"/>
      <c r="I207" s="5">
        <v>3.35</v>
      </c>
      <c r="J207" s="5"/>
      <c r="K207" s="100">
        <f t="shared" ref="K207:K216" si="51">H207+I207+J207+M207</f>
        <v>3.7855000000000003</v>
      </c>
      <c r="L207" s="2"/>
      <c r="M207" s="95">
        <f t="shared" ref="M207:M216" si="52">SUM(N207:S207)</f>
        <v>0.43550000000000005</v>
      </c>
      <c r="N207" s="64">
        <f t="shared" ref="N207:N216" si="53">H207*0.05</f>
        <v>0</v>
      </c>
      <c r="O207" s="2"/>
      <c r="P207" s="95">
        <f t="shared" ref="P207:P216" si="54">+I207*0.13</f>
        <v>0.43550000000000005</v>
      </c>
      <c r="Q207" s="2"/>
      <c r="R207" s="95">
        <f t="shared" ref="R207:R216" si="55">J207*0.25</f>
        <v>0</v>
      </c>
      <c r="S207" s="2"/>
    </row>
    <row r="208" spans="1:19" x14ac:dyDescent="0.2">
      <c r="A208" s="205">
        <v>165</v>
      </c>
      <c r="B208" s="5">
        <v>131</v>
      </c>
      <c r="C208" s="2" t="s">
        <v>878</v>
      </c>
      <c r="D208" s="39">
        <v>45626</v>
      </c>
      <c r="E208" s="2" t="s">
        <v>608</v>
      </c>
      <c r="F208" s="98" t="s">
        <v>609</v>
      </c>
      <c r="G208" s="99">
        <v>43965974818</v>
      </c>
      <c r="H208" s="5"/>
      <c r="I208" s="5">
        <v>2.52</v>
      </c>
      <c r="J208" s="5"/>
      <c r="K208" s="100">
        <f t="shared" si="51"/>
        <v>2.8475999999999999</v>
      </c>
      <c r="L208" s="2"/>
      <c r="M208" s="95">
        <f t="shared" si="52"/>
        <v>0.3276</v>
      </c>
      <c r="N208" s="64">
        <f t="shared" si="53"/>
        <v>0</v>
      </c>
      <c r="O208" s="2"/>
      <c r="P208" s="95">
        <f t="shared" si="54"/>
        <v>0.3276</v>
      </c>
      <c r="Q208" s="2"/>
      <c r="R208" s="95">
        <f t="shared" si="55"/>
        <v>0</v>
      </c>
      <c r="S208" s="2"/>
    </row>
    <row r="209" spans="1:19" x14ac:dyDescent="0.2">
      <c r="A209" s="205">
        <v>166</v>
      </c>
      <c r="B209" s="5">
        <v>132</v>
      </c>
      <c r="C209" s="2" t="s">
        <v>879</v>
      </c>
      <c r="D209" s="39">
        <v>45626</v>
      </c>
      <c r="E209" s="2" t="s">
        <v>608</v>
      </c>
      <c r="F209" s="98" t="s">
        <v>609</v>
      </c>
      <c r="G209" s="99">
        <v>43965974818</v>
      </c>
      <c r="H209" s="5"/>
      <c r="I209" s="5">
        <v>3.35</v>
      </c>
      <c r="J209" s="5"/>
      <c r="K209" s="100">
        <f t="shared" si="51"/>
        <v>3.7855000000000003</v>
      </c>
      <c r="L209" s="2"/>
      <c r="M209" s="95">
        <f>SUM(N209:S209)</f>
        <v>0.43550000000000005</v>
      </c>
      <c r="N209" s="64">
        <f t="shared" si="53"/>
        <v>0</v>
      </c>
      <c r="O209" s="2"/>
      <c r="P209" s="95">
        <f t="shared" si="54"/>
        <v>0.43550000000000005</v>
      </c>
      <c r="Q209" s="2"/>
      <c r="R209" s="95">
        <f t="shared" si="55"/>
        <v>0</v>
      </c>
      <c r="S209" s="2"/>
    </row>
    <row r="210" spans="1:19" x14ac:dyDescent="0.2">
      <c r="A210" s="205">
        <v>167</v>
      </c>
      <c r="B210" s="5">
        <v>133</v>
      </c>
      <c r="C210" s="2" t="s">
        <v>880</v>
      </c>
      <c r="D210" s="39">
        <v>45627</v>
      </c>
      <c r="E210" s="2" t="s">
        <v>855</v>
      </c>
      <c r="F210" s="2" t="s">
        <v>856</v>
      </c>
      <c r="G210" s="156">
        <v>68419124305</v>
      </c>
      <c r="H210" s="5"/>
      <c r="I210" s="5"/>
      <c r="J210" s="5"/>
      <c r="K210" s="100">
        <v>10.62</v>
      </c>
      <c r="L210" s="2"/>
      <c r="M210" s="95">
        <f t="shared" si="52"/>
        <v>0</v>
      </c>
      <c r="N210" s="64">
        <f t="shared" si="53"/>
        <v>0</v>
      </c>
      <c r="O210" s="2"/>
      <c r="P210" s="95">
        <f t="shared" si="54"/>
        <v>0</v>
      </c>
      <c r="Q210" s="2"/>
      <c r="R210" s="95">
        <f t="shared" si="55"/>
        <v>0</v>
      </c>
      <c r="S210" s="2"/>
    </row>
    <row r="211" spans="1:19" x14ac:dyDescent="0.2">
      <c r="A211" s="205">
        <v>168</v>
      </c>
      <c r="B211" s="5">
        <v>134</v>
      </c>
      <c r="C211" s="2" t="s">
        <v>881</v>
      </c>
      <c r="D211" s="39">
        <v>45632</v>
      </c>
      <c r="E211" s="2" t="s">
        <v>882</v>
      </c>
      <c r="F211" s="2" t="s">
        <v>883</v>
      </c>
      <c r="G211" s="2">
        <v>72313761076</v>
      </c>
      <c r="H211" s="5"/>
      <c r="I211" s="5"/>
      <c r="J211" s="5">
        <v>3.6</v>
      </c>
      <c r="K211" s="100">
        <f t="shared" si="51"/>
        <v>4.5</v>
      </c>
      <c r="L211" s="2"/>
      <c r="M211" s="95">
        <f t="shared" si="52"/>
        <v>0.9</v>
      </c>
      <c r="N211" s="64">
        <f t="shared" si="53"/>
        <v>0</v>
      </c>
      <c r="O211" s="2"/>
      <c r="P211" s="95">
        <f t="shared" si="54"/>
        <v>0</v>
      </c>
      <c r="Q211" s="2"/>
      <c r="R211" s="95">
        <f t="shared" si="55"/>
        <v>0.9</v>
      </c>
      <c r="S211" s="2"/>
    </row>
    <row r="212" spans="1:19" x14ac:dyDescent="0.2">
      <c r="A212" s="205">
        <v>170</v>
      </c>
      <c r="B212" s="5">
        <v>135</v>
      </c>
      <c r="C212" s="2" t="s">
        <v>884</v>
      </c>
      <c r="D212" s="39">
        <v>45657</v>
      </c>
      <c r="E212" s="2" t="s">
        <v>608</v>
      </c>
      <c r="F212" s="98" t="s">
        <v>609</v>
      </c>
      <c r="G212" s="99">
        <v>43965974818</v>
      </c>
      <c r="H212" s="5"/>
      <c r="I212" s="5">
        <v>9.32</v>
      </c>
      <c r="J212" s="5">
        <v>0</v>
      </c>
      <c r="K212" s="100">
        <f t="shared" si="51"/>
        <v>10.531600000000001</v>
      </c>
      <c r="L212" s="2"/>
      <c r="M212" s="95">
        <f t="shared" si="52"/>
        <v>1.2116</v>
      </c>
      <c r="N212" s="64">
        <f t="shared" si="53"/>
        <v>0</v>
      </c>
      <c r="O212" s="2"/>
      <c r="P212" s="95">
        <f t="shared" si="54"/>
        <v>1.2116</v>
      </c>
      <c r="Q212" s="2"/>
      <c r="R212" s="95">
        <f t="shared" si="55"/>
        <v>0</v>
      </c>
      <c r="S212" s="2"/>
    </row>
    <row r="213" spans="1:19" x14ac:dyDescent="0.2">
      <c r="A213" s="205">
        <v>171</v>
      </c>
      <c r="B213" s="5">
        <v>136</v>
      </c>
      <c r="C213" s="2" t="s">
        <v>885</v>
      </c>
      <c r="D213" s="39">
        <v>45657</v>
      </c>
      <c r="E213" s="2" t="s">
        <v>608</v>
      </c>
      <c r="F213" s="98" t="s">
        <v>609</v>
      </c>
      <c r="G213" s="99">
        <v>43965974818</v>
      </c>
      <c r="H213" s="5"/>
      <c r="I213" s="5">
        <v>3.06</v>
      </c>
      <c r="J213" s="5"/>
      <c r="K213" s="100">
        <f t="shared" si="51"/>
        <v>3.4578000000000002</v>
      </c>
      <c r="L213" s="2"/>
      <c r="M213" s="95">
        <f t="shared" si="52"/>
        <v>0.39780000000000004</v>
      </c>
      <c r="N213" s="64">
        <f t="shared" si="53"/>
        <v>0</v>
      </c>
      <c r="O213" s="2"/>
      <c r="P213" s="95">
        <f t="shared" si="54"/>
        <v>0.39780000000000004</v>
      </c>
      <c r="Q213" s="2"/>
      <c r="R213" s="95">
        <f t="shared" si="55"/>
        <v>0</v>
      </c>
      <c r="S213" s="2"/>
    </row>
    <row r="214" spans="1:19" x14ac:dyDescent="0.2">
      <c r="A214" s="205">
        <v>172</v>
      </c>
      <c r="B214" s="5">
        <v>137</v>
      </c>
      <c r="C214" s="2" t="s">
        <v>886</v>
      </c>
      <c r="D214" s="39">
        <v>45657</v>
      </c>
      <c r="E214" s="2" t="s">
        <v>608</v>
      </c>
      <c r="F214" s="98" t="s">
        <v>609</v>
      </c>
      <c r="G214" s="99">
        <v>43965974818</v>
      </c>
      <c r="H214" s="5"/>
      <c r="I214" s="5">
        <v>3.35</v>
      </c>
      <c r="J214" s="5"/>
      <c r="K214" s="100">
        <f t="shared" si="51"/>
        <v>3.7855000000000003</v>
      </c>
      <c r="L214" s="2"/>
      <c r="M214" s="95">
        <f t="shared" si="52"/>
        <v>0.43550000000000005</v>
      </c>
      <c r="N214" s="64">
        <f>H214*0.05</f>
        <v>0</v>
      </c>
      <c r="O214" s="2"/>
      <c r="P214" s="95">
        <f>+I214*0.13</f>
        <v>0.43550000000000005</v>
      </c>
      <c r="Q214" s="2"/>
      <c r="R214" s="95">
        <f>J214*0.25</f>
        <v>0</v>
      </c>
      <c r="S214" s="2"/>
    </row>
    <row r="215" spans="1:19" x14ac:dyDescent="0.2">
      <c r="A215" s="205">
        <v>173</v>
      </c>
      <c r="B215" s="5">
        <v>138</v>
      </c>
      <c r="C215" s="2" t="s">
        <v>887</v>
      </c>
      <c r="D215" s="39">
        <v>45657</v>
      </c>
      <c r="E215" s="2" t="s">
        <v>608</v>
      </c>
      <c r="F215" s="98" t="s">
        <v>609</v>
      </c>
      <c r="G215" s="99">
        <v>43965974818</v>
      </c>
      <c r="H215" s="5"/>
      <c r="I215" s="5">
        <v>2.52</v>
      </c>
      <c r="J215" s="5"/>
      <c r="K215" s="100">
        <f t="shared" si="51"/>
        <v>2.8475999999999999</v>
      </c>
      <c r="L215" s="2"/>
      <c r="M215" s="95">
        <f t="shared" si="52"/>
        <v>0.3276</v>
      </c>
      <c r="N215" s="64">
        <f t="shared" si="53"/>
        <v>0</v>
      </c>
      <c r="O215" s="2"/>
      <c r="P215" s="95">
        <f t="shared" si="54"/>
        <v>0.3276</v>
      </c>
      <c r="Q215" s="2"/>
      <c r="R215" s="95">
        <f t="shared" si="55"/>
        <v>0</v>
      </c>
      <c r="S215" s="2"/>
    </row>
    <row r="216" spans="1:19" x14ac:dyDescent="0.2">
      <c r="A216" s="205">
        <v>174</v>
      </c>
      <c r="B216" s="5">
        <v>139</v>
      </c>
      <c r="C216" s="2" t="s">
        <v>888</v>
      </c>
      <c r="D216" s="39">
        <v>45657</v>
      </c>
      <c r="E216" s="2" t="s">
        <v>589</v>
      </c>
      <c r="F216" s="2" t="s">
        <v>594</v>
      </c>
      <c r="G216" s="99">
        <v>26618043061</v>
      </c>
      <c r="H216" s="5"/>
      <c r="I216" s="5"/>
      <c r="J216" s="5">
        <v>50</v>
      </c>
      <c r="K216" s="100">
        <f t="shared" si="51"/>
        <v>62.5</v>
      </c>
      <c r="L216" s="2"/>
      <c r="M216" s="95">
        <f t="shared" si="52"/>
        <v>12.5</v>
      </c>
      <c r="N216" s="64">
        <f t="shared" si="53"/>
        <v>0</v>
      </c>
      <c r="O216" s="2"/>
      <c r="P216" s="95">
        <f t="shared" si="54"/>
        <v>0</v>
      </c>
      <c r="Q216" s="2"/>
      <c r="R216" s="95">
        <f t="shared" si="55"/>
        <v>12.5</v>
      </c>
      <c r="S216" s="2"/>
    </row>
    <row r="217" spans="1:19" x14ac:dyDescent="0.2">
      <c r="A217" s="205">
        <v>175</v>
      </c>
      <c r="B217" s="5">
        <v>140</v>
      </c>
      <c r="C217" s="2" t="s">
        <v>889</v>
      </c>
      <c r="D217" s="39">
        <v>45657</v>
      </c>
      <c r="E217" s="2" t="s">
        <v>587</v>
      </c>
      <c r="F217" s="98" t="s">
        <v>607</v>
      </c>
      <c r="G217" s="99">
        <v>51260824290</v>
      </c>
      <c r="H217" s="5"/>
      <c r="I217" s="5">
        <v>3.32</v>
      </c>
      <c r="J217" s="5"/>
      <c r="K217" s="100">
        <f t="shared" ref="K217:K227" si="56">H217+I217+J217+M217</f>
        <v>3.7515999999999998</v>
      </c>
      <c r="L217" s="2"/>
      <c r="M217" s="95">
        <f t="shared" ref="M217:M227" si="57">SUM(N217:S217)</f>
        <v>0.43159999999999998</v>
      </c>
      <c r="N217" s="64">
        <f t="shared" ref="N217:N227" si="58">H217*0.05</f>
        <v>0</v>
      </c>
      <c r="O217" s="2"/>
      <c r="P217" s="95">
        <f t="shared" ref="P217:P227" si="59">+I217*0.13</f>
        <v>0.43159999999999998</v>
      </c>
      <c r="Q217" s="2"/>
      <c r="R217" s="95">
        <f t="shared" ref="R217:R227" si="60">J217*0.25</f>
        <v>0</v>
      </c>
      <c r="S217" s="2"/>
    </row>
    <row r="218" spans="1:19" x14ac:dyDescent="0.2">
      <c r="A218" s="205">
        <v>176</v>
      </c>
      <c r="B218" s="5">
        <v>141</v>
      </c>
      <c r="C218" s="2" t="s">
        <v>890</v>
      </c>
      <c r="D218" s="39">
        <v>45657</v>
      </c>
      <c r="E218" s="2" t="s">
        <v>587</v>
      </c>
      <c r="F218" s="98" t="s">
        <v>607</v>
      </c>
      <c r="G218" s="99">
        <v>51260824290</v>
      </c>
      <c r="H218" s="5"/>
      <c r="I218" s="5">
        <v>3.32</v>
      </c>
      <c r="J218" s="5"/>
      <c r="K218" s="100">
        <f t="shared" si="56"/>
        <v>3.7515999999999998</v>
      </c>
      <c r="L218" s="2"/>
      <c r="M218" s="95">
        <f t="shared" si="57"/>
        <v>0.43159999999999998</v>
      </c>
      <c r="N218" s="64">
        <f t="shared" si="58"/>
        <v>0</v>
      </c>
      <c r="O218" s="2"/>
      <c r="P218" s="95">
        <f t="shared" si="59"/>
        <v>0.43159999999999998</v>
      </c>
      <c r="Q218" s="2"/>
      <c r="R218" s="95">
        <f t="shared" si="60"/>
        <v>0</v>
      </c>
      <c r="S218" s="2"/>
    </row>
    <row r="219" spans="1:19" x14ac:dyDescent="0.2">
      <c r="A219" s="205">
        <v>177</v>
      </c>
      <c r="B219" s="5">
        <v>142</v>
      </c>
      <c r="C219" s="2" t="s">
        <v>891</v>
      </c>
      <c r="D219" s="39">
        <v>45657</v>
      </c>
      <c r="E219" s="2" t="s">
        <v>587</v>
      </c>
      <c r="F219" s="98" t="s">
        <v>607</v>
      </c>
      <c r="G219" s="99">
        <v>51260824290</v>
      </c>
      <c r="H219" s="5"/>
      <c r="I219" s="5">
        <v>3.32</v>
      </c>
      <c r="J219" s="5"/>
      <c r="K219" s="100">
        <f t="shared" si="56"/>
        <v>3.7515999999999998</v>
      </c>
      <c r="L219" s="2"/>
      <c r="M219" s="95">
        <f>SUM(N219:S219)</f>
        <v>0.43159999999999998</v>
      </c>
      <c r="N219" s="64">
        <f t="shared" si="58"/>
        <v>0</v>
      </c>
      <c r="O219" s="2"/>
      <c r="P219" s="95">
        <f t="shared" si="59"/>
        <v>0.43159999999999998</v>
      </c>
      <c r="Q219" s="2"/>
      <c r="R219" s="95">
        <f t="shared" si="60"/>
        <v>0</v>
      </c>
      <c r="S219" s="2"/>
    </row>
    <row r="220" spans="1:19" x14ac:dyDescent="0.2">
      <c r="A220" s="205">
        <v>178</v>
      </c>
      <c r="B220" s="5">
        <v>143</v>
      </c>
      <c r="C220" s="2" t="s">
        <v>891</v>
      </c>
      <c r="D220" s="39">
        <v>45657</v>
      </c>
      <c r="E220" s="2" t="s">
        <v>588</v>
      </c>
      <c r="F220" s="240" t="s">
        <v>595</v>
      </c>
      <c r="G220" s="99">
        <v>77465071491</v>
      </c>
      <c r="H220" s="5"/>
      <c r="I220" s="5">
        <v>15.93</v>
      </c>
      <c r="J220" s="5"/>
      <c r="K220" s="100">
        <f t="shared" si="56"/>
        <v>18.000900000000001</v>
      </c>
      <c r="L220" s="2"/>
      <c r="M220" s="95">
        <f t="shared" si="57"/>
        <v>2.0709</v>
      </c>
      <c r="N220" s="64">
        <f t="shared" si="58"/>
        <v>0</v>
      </c>
      <c r="O220" s="2"/>
      <c r="P220" s="95">
        <f t="shared" si="59"/>
        <v>2.0709</v>
      </c>
      <c r="Q220" s="2"/>
      <c r="R220" s="95">
        <f t="shared" si="60"/>
        <v>0</v>
      </c>
      <c r="S220" s="2"/>
    </row>
    <row r="221" spans="1:19" x14ac:dyDescent="0.2">
      <c r="A221" s="205">
        <v>179</v>
      </c>
      <c r="B221" s="5">
        <v>144</v>
      </c>
      <c r="C221" s="2" t="s">
        <v>892</v>
      </c>
      <c r="D221" s="39">
        <v>45657</v>
      </c>
      <c r="E221" s="2" t="s">
        <v>632</v>
      </c>
      <c r="F221" s="98" t="s">
        <v>633</v>
      </c>
      <c r="G221" s="99">
        <v>81793146560</v>
      </c>
      <c r="H221" s="5"/>
      <c r="I221" s="5"/>
      <c r="J221" s="5">
        <v>28.37</v>
      </c>
      <c r="K221" s="100">
        <f t="shared" si="56"/>
        <v>35.462499999999999</v>
      </c>
      <c r="L221" s="2"/>
      <c r="M221" s="95">
        <f t="shared" si="57"/>
        <v>7.0925000000000002</v>
      </c>
      <c r="N221" s="64">
        <f t="shared" si="58"/>
        <v>0</v>
      </c>
      <c r="O221" s="2"/>
      <c r="P221" s="95">
        <f t="shared" si="59"/>
        <v>0</v>
      </c>
      <c r="Q221" s="2"/>
      <c r="R221" s="95">
        <f t="shared" si="60"/>
        <v>7.0925000000000002</v>
      </c>
      <c r="S221" s="2"/>
    </row>
    <row r="222" spans="1:19" x14ac:dyDescent="0.2">
      <c r="A222" s="256"/>
      <c r="B222" s="5"/>
      <c r="C222" s="2"/>
      <c r="D222" s="5"/>
      <c r="E222" s="2"/>
      <c r="F222" s="98"/>
      <c r="G222" s="99"/>
      <c r="H222" s="5"/>
      <c r="I222" s="5"/>
      <c r="J222" s="5"/>
      <c r="K222" s="100">
        <f t="shared" si="56"/>
        <v>0</v>
      </c>
      <c r="L222" s="2"/>
      <c r="M222" s="95">
        <f t="shared" si="57"/>
        <v>0</v>
      </c>
      <c r="N222" s="64">
        <f t="shared" si="58"/>
        <v>0</v>
      </c>
      <c r="O222" s="2"/>
      <c r="P222" s="95">
        <f t="shared" si="59"/>
        <v>0</v>
      </c>
      <c r="Q222" s="2"/>
      <c r="R222" s="95">
        <f t="shared" si="60"/>
        <v>0</v>
      </c>
      <c r="S222" s="2"/>
    </row>
    <row r="223" spans="1:19" ht="13.5" thickBot="1" x14ac:dyDescent="0.25">
      <c r="B223" s="257"/>
      <c r="C223" s="145"/>
      <c r="D223" s="257"/>
      <c r="E223" s="145"/>
      <c r="F223" s="146"/>
      <c r="G223" s="147"/>
      <c r="H223" s="5"/>
      <c r="I223" s="5"/>
      <c r="J223" s="5"/>
      <c r="K223" s="100">
        <f t="shared" si="56"/>
        <v>0</v>
      </c>
      <c r="L223" s="2"/>
      <c r="M223" s="95">
        <f t="shared" si="57"/>
        <v>0</v>
      </c>
      <c r="N223" s="64">
        <f t="shared" si="58"/>
        <v>0</v>
      </c>
      <c r="O223" s="2"/>
      <c r="P223" s="95">
        <f t="shared" si="59"/>
        <v>0</v>
      </c>
      <c r="Q223" s="2"/>
      <c r="R223" s="95">
        <f t="shared" si="60"/>
        <v>0</v>
      </c>
      <c r="S223" s="2"/>
    </row>
    <row r="224" spans="1:19" x14ac:dyDescent="0.2">
      <c r="A224" s="390"/>
      <c r="B224" s="18"/>
      <c r="C224" s="151"/>
      <c r="D224" s="18"/>
      <c r="E224" s="151"/>
      <c r="F224" s="152"/>
      <c r="G224" s="153"/>
      <c r="H224" s="5"/>
      <c r="I224" s="5"/>
      <c r="J224" s="5"/>
      <c r="K224" s="100">
        <f t="shared" si="56"/>
        <v>0</v>
      </c>
      <c r="L224" s="2"/>
      <c r="M224" s="95">
        <f t="shared" si="57"/>
        <v>0</v>
      </c>
      <c r="N224" s="64">
        <f t="shared" si="58"/>
        <v>0</v>
      </c>
      <c r="O224" s="2"/>
      <c r="P224" s="95">
        <f t="shared" si="59"/>
        <v>0</v>
      </c>
      <c r="Q224" s="2"/>
      <c r="R224" s="95">
        <f t="shared" si="60"/>
        <v>0</v>
      </c>
      <c r="S224" s="2"/>
    </row>
    <row r="225" spans="1:19" x14ac:dyDescent="0.2">
      <c r="A225" s="391"/>
      <c r="B225" s="316" t="s">
        <v>853</v>
      </c>
      <c r="C225" s="317"/>
      <c r="D225" s="317"/>
      <c r="E225" s="317"/>
      <c r="F225" s="318"/>
      <c r="G225" s="99"/>
      <c r="H225" s="5"/>
      <c r="I225" s="5"/>
      <c r="J225" s="5"/>
      <c r="K225" s="100">
        <f t="shared" si="56"/>
        <v>0</v>
      </c>
      <c r="L225" s="2"/>
      <c r="M225" s="95">
        <f t="shared" si="57"/>
        <v>0</v>
      </c>
      <c r="N225" s="64">
        <f t="shared" si="58"/>
        <v>0</v>
      </c>
      <c r="O225" s="2"/>
      <c r="P225" s="95">
        <f t="shared" si="59"/>
        <v>0</v>
      </c>
      <c r="Q225" s="2"/>
      <c r="R225" s="95">
        <f t="shared" si="60"/>
        <v>0</v>
      </c>
      <c r="S225" s="2"/>
    </row>
    <row r="226" spans="1:19" ht="13.5" thickBot="1" x14ac:dyDescent="0.25">
      <c r="A226" s="392"/>
      <c r="B226" s="165"/>
      <c r="C226" s="160"/>
      <c r="D226" s="165"/>
      <c r="E226" s="160"/>
      <c r="F226" s="185"/>
      <c r="G226" s="161"/>
      <c r="H226" s="5"/>
      <c r="I226" s="5"/>
      <c r="J226" s="5"/>
      <c r="K226" s="100">
        <f t="shared" si="56"/>
        <v>0</v>
      </c>
      <c r="L226" s="2"/>
      <c r="M226" s="95">
        <f t="shared" si="57"/>
        <v>0</v>
      </c>
      <c r="N226" s="64">
        <f t="shared" si="58"/>
        <v>0</v>
      </c>
      <c r="O226" s="2"/>
      <c r="P226" s="95">
        <f t="shared" si="59"/>
        <v>0</v>
      </c>
      <c r="Q226" s="2"/>
      <c r="R226" s="95">
        <f t="shared" si="60"/>
        <v>0</v>
      </c>
      <c r="S226" s="2"/>
    </row>
    <row r="227" spans="1:19" x14ac:dyDescent="0.2">
      <c r="B227" s="258"/>
      <c r="C227" s="154"/>
      <c r="D227" s="258"/>
      <c r="E227" s="154"/>
      <c r="F227" s="155"/>
      <c r="G227" s="156"/>
      <c r="H227" s="5"/>
      <c r="I227" s="5"/>
      <c r="J227" s="5"/>
      <c r="K227" s="100">
        <f t="shared" si="56"/>
        <v>0</v>
      </c>
      <c r="L227" s="2"/>
      <c r="M227" s="95">
        <f t="shared" si="57"/>
        <v>0</v>
      </c>
      <c r="N227" s="64">
        <f t="shared" si="58"/>
        <v>0</v>
      </c>
      <c r="O227" s="2"/>
      <c r="P227" s="95">
        <f t="shared" si="59"/>
        <v>0</v>
      </c>
      <c r="Q227" s="2"/>
      <c r="R227" s="95">
        <f t="shared" si="60"/>
        <v>0</v>
      </c>
      <c r="S227" s="2"/>
    </row>
    <row r="230" spans="1:19" x14ac:dyDescent="0.2">
      <c r="B230" s="6" t="s">
        <v>579</v>
      </c>
      <c r="H230" s="92">
        <f>SUM(H29:H115)</f>
        <v>0</v>
      </c>
      <c r="I230" s="92">
        <f>SUM(I29:I229)</f>
        <v>1788.8799999999985</v>
      </c>
      <c r="J230" s="184">
        <f>SUM(J29:J229)</f>
        <v>7319.6289999999999</v>
      </c>
      <c r="K230" s="184">
        <f>SUM(K29:L229)</f>
        <v>12316.880649999983</v>
      </c>
      <c r="L230" s="184">
        <f>SUM(L29:M229)</f>
        <v>2062.6416499999991</v>
      </c>
      <c r="M230" s="184">
        <f>SUM(M29:M229)</f>
        <v>2062.6416499999991</v>
      </c>
      <c r="N230" s="184">
        <f>SUM(N29:N229)</f>
        <v>0</v>
      </c>
      <c r="O230" s="184">
        <f>SUM(O29:O229)</f>
        <v>0</v>
      </c>
      <c r="P230" s="184">
        <f>SUM(P29:P229)</f>
        <v>232.55439999999993</v>
      </c>
      <c r="Q230" s="184">
        <f>SUM(Q29:Q229)</f>
        <v>0.18000000000000002</v>
      </c>
      <c r="R230" s="184">
        <f>SUM(R29:R229)</f>
        <v>1829.90725</v>
      </c>
      <c r="S230" s="184">
        <f>SUM(S29:S229)</f>
        <v>0</v>
      </c>
    </row>
    <row r="1048573" spans="4:4" x14ac:dyDescent="0.2">
      <c r="D1048573" s="141"/>
    </row>
  </sheetData>
  <mergeCells count="42">
    <mergeCell ref="B225:F225"/>
    <mergeCell ref="B115:F115"/>
    <mergeCell ref="B139:F139"/>
    <mergeCell ref="E28:F28"/>
    <mergeCell ref="B19:B27"/>
    <mergeCell ref="C19:D20"/>
    <mergeCell ref="C21:C27"/>
    <mergeCell ref="D21:D27"/>
    <mergeCell ref="E21:F27"/>
    <mergeCell ref="B159:F159"/>
    <mergeCell ref="B180:F180"/>
    <mergeCell ref="A1:F2"/>
    <mergeCell ref="C3:F3"/>
    <mergeCell ref="C4:F5"/>
    <mergeCell ref="C6:F6"/>
    <mergeCell ref="C7:F8"/>
    <mergeCell ref="N23:N27"/>
    <mergeCell ref="O23:O27"/>
    <mergeCell ref="P23:P27"/>
    <mergeCell ref="Q23:Q27"/>
    <mergeCell ref="R23:R27"/>
    <mergeCell ref="K21:K27"/>
    <mergeCell ref="M21:M27"/>
    <mergeCell ref="H26:H27"/>
    <mergeCell ref="J26:J27"/>
    <mergeCell ref="I26:I27"/>
    <mergeCell ref="S23:S27"/>
    <mergeCell ref="G21:G27"/>
    <mergeCell ref="Q3:R3"/>
    <mergeCell ref="O16:R16"/>
    <mergeCell ref="G15:K16"/>
    <mergeCell ref="N19:S20"/>
    <mergeCell ref="N21:O22"/>
    <mergeCell ref="P21:Q22"/>
    <mergeCell ref="R21:S22"/>
    <mergeCell ref="E19:M20"/>
    <mergeCell ref="C10:F10"/>
    <mergeCell ref="C11:F12"/>
    <mergeCell ref="C13:F13"/>
    <mergeCell ref="C9:F9"/>
    <mergeCell ref="L15:L16"/>
    <mergeCell ref="H21:J25"/>
  </mergeCells>
  <phoneticPr fontId="23" type="noConversion"/>
  <pageMargins left="0.25" right="0.25" top="0.75" bottom="0.75" header="0.3" footer="0.3"/>
  <pageSetup paperSize="9" scale="27" orientation="landscape" r:id="rId1"/>
  <rowBreaks count="2" manualBreakCount="2">
    <brk id="126" max="23" man="1"/>
    <brk id="1048445" max="2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zoomScale="55" zoomScaleNormal="55" workbookViewId="0">
      <selection activeCell="G41" sqref="G41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10.125" bestFit="1" customWidth="1"/>
    <col min="11" max="11" width="11.5" customWidth="1"/>
    <col min="12" max="12" width="33.625" customWidth="1"/>
    <col min="13" max="13" width="23" customWidth="1"/>
    <col min="14" max="19" width="10" customWidth="1"/>
  </cols>
  <sheetData>
    <row r="1" spans="1:18" x14ac:dyDescent="0.2">
      <c r="A1" s="281" t="str">
        <f>NASLOV!B5</f>
        <v>Markus Renz</v>
      </c>
      <c r="B1" s="281"/>
      <c r="C1" s="281"/>
      <c r="D1" s="281"/>
      <c r="E1" s="281"/>
      <c r="F1" s="281"/>
    </row>
    <row r="2" spans="1:18" x14ac:dyDescent="0.2">
      <c r="A2" s="281"/>
      <c r="B2" s="281"/>
      <c r="C2" s="281"/>
      <c r="D2" s="281"/>
      <c r="E2" s="281"/>
      <c r="F2" s="281"/>
    </row>
    <row r="3" spans="1:18" x14ac:dyDescent="0.2">
      <c r="C3" s="259" t="str">
        <f>INDEX(PRIJEVODI!B:D,MATCH("URA75-001",PRIJEVODI!A:A,0),MATCH(NASLOV!$B$2,PRIJEVODI!$B$1:$D$1,0))</f>
        <v>STEUERPFLICHTIGER: NAME / NACHNAME</v>
      </c>
      <c r="D3" s="259"/>
      <c r="E3" s="259"/>
      <c r="F3" s="259"/>
      <c r="Q3" s="267"/>
      <c r="R3" s="267"/>
    </row>
    <row r="4" spans="1:18" x14ac:dyDescent="0.2">
      <c r="C4" s="280" t="str">
        <f>NASLOV!B7</f>
        <v>Am Sonnblick 6, Lichtenau</v>
      </c>
      <c r="D4" s="280"/>
      <c r="E4" s="280"/>
      <c r="F4" s="280"/>
    </row>
    <row r="5" spans="1:18" x14ac:dyDescent="0.2">
      <c r="C5" s="280"/>
      <c r="D5" s="280"/>
      <c r="E5" s="280"/>
      <c r="F5" s="280"/>
    </row>
    <row r="6" spans="1:18" x14ac:dyDescent="0.2">
      <c r="C6" s="259" t="str">
        <f>INDEX(PRIJEVODI!B:D,MATCH("URA75-002",PRIJEVODI!A:A,0),MATCH(NASLOV!$B$2,PRIJEVODI!$B$1:$D$1,0))</f>
        <v>ADRESSE: ORT, STRASSE UND HAUSNUMMER</v>
      </c>
      <c r="D6" s="259"/>
      <c r="E6" s="259"/>
      <c r="F6" s="259"/>
    </row>
    <row r="7" spans="1:18" x14ac:dyDescent="0.2">
      <c r="C7" s="282"/>
      <c r="D7" s="282"/>
      <c r="E7" s="282"/>
      <c r="F7" s="282"/>
    </row>
    <row r="8" spans="1:18" x14ac:dyDescent="0.2">
      <c r="C8" s="282"/>
      <c r="D8" s="282"/>
      <c r="E8" s="282"/>
      <c r="F8" s="282"/>
    </row>
    <row r="9" spans="1:18" x14ac:dyDescent="0.2">
      <c r="C9" s="259" t="str">
        <f>INDEX(PRIJEVODI!B:D,MATCH("URA75-003",PRIJEVODI!A:A,0),MATCH(NASLOV!$B$2,PRIJEVODI!$B$1:$D$1,0))</f>
        <v xml:space="preserve">NUMMERIERUNG GEMÄSS DEM NATIONALEN KLASSIFIZIERUNGSSYSTEM  </v>
      </c>
      <c r="D9" s="259"/>
      <c r="E9" s="259"/>
      <c r="F9" s="259"/>
    </row>
    <row r="10" spans="1:18" x14ac:dyDescent="0.2">
      <c r="C10" s="259"/>
      <c r="D10" s="259"/>
      <c r="E10" s="259"/>
      <c r="F10" s="259"/>
    </row>
    <row r="11" spans="1:18" x14ac:dyDescent="0.2">
      <c r="C11" s="280" t="str">
        <f>NASLOV!B9</f>
        <v>HR6411581446</v>
      </c>
      <c r="D11" s="280"/>
      <c r="E11" s="280"/>
      <c r="F11" s="280"/>
    </row>
    <row r="12" spans="1:18" x14ac:dyDescent="0.2">
      <c r="C12" s="280"/>
      <c r="D12" s="280"/>
      <c r="E12" s="280"/>
      <c r="F12" s="280"/>
    </row>
    <row r="13" spans="1:18" x14ac:dyDescent="0.2">
      <c r="C13" s="259" t="str">
        <f>INDEX(PRIJEVODI!B:D,MATCH("URA75-004",PRIJEVODI!A:A,0),MATCH(NASLOV!$B$2,PRIJEVODI!$B$1:$D$1,0))</f>
        <v>STEUERNUMMER (UID)</v>
      </c>
      <c r="D13" s="259"/>
      <c r="E13" s="259"/>
      <c r="F13" s="259"/>
    </row>
    <row r="15" spans="1:18" x14ac:dyDescent="0.2">
      <c r="G15" s="306" t="s">
        <v>576</v>
      </c>
      <c r="H15" s="267"/>
      <c r="I15" s="267"/>
      <c r="J15" s="267"/>
      <c r="K15" s="267"/>
      <c r="L15" s="279"/>
    </row>
    <row r="16" spans="1:18" x14ac:dyDescent="0.2">
      <c r="G16" s="267"/>
      <c r="H16" s="267"/>
      <c r="I16" s="267"/>
      <c r="J16" s="267"/>
      <c r="K16" s="267"/>
      <c r="L16" s="279"/>
      <c r="O16" s="267" t="str">
        <f>INDEX(PRIJEVODI!B:D,MATCH("URA75-006",PRIJEVODI!A:A,0),MATCH(NASLOV!$B$2,PRIJEVODI!$B$1:$D$1,0))</f>
        <v>BETRAG IN KUNA UND LIPA</v>
      </c>
      <c r="P16" s="267"/>
      <c r="Q16" s="267"/>
      <c r="R16" s="267"/>
    </row>
    <row r="19" spans="2:19" ht="12.75" customHeight="1" x14ac:dyDescent="0.2">
      <c r="B19" s="283" t="str">
        <f>INDEX(PRIJEVODI!B:D,MATCH("URA75-007",PRIJEVODI!A:A,0),MATCH(NASLOV!$B$2,PRIJEVODI!$B$1:$D$1,0))</f>
        <v xml:space="preserve">ORDNUNGSNUMMER </v>
      </c>
      <c r="C19" s="271" t="str">
        <f>INDEX(PRIJEVODI!B:D,MATCH("URA75-008",PRIJEVODI!A:A,0),MATCH(NASLOV!$B$2,PRIJEVODI!$B$1:$D$1,0))</f>
        <v>RECHNUNG</v>
      </c>
      <c r="D19" s="286"/>
      <c r="E19" s="331" t="str">
        <f>INDEX(PRIJEVODI!B:D,MATCH("URA75-011",PRIJEVODI!A:A,0),MATCH(NASLOV!$B$2,PRIJEVODI!$B$1:$D$1,0))</f>
        <v>LIEFERANT (ANBIETER VON WAREN UND DIENSTLEISTUNGEN)</v>
      </c>
      <c r="F19" s="322"/>
      <c r="G19" s="322"/>
      <c r="H19" s="322"/>
      <c r="I19" s="322"/>
      <c r="J19" s="322"/>
      <c r="K19" s="322"/>
      <c r="L19" s="322"/>
      <c r="M19" s="323"/>
      <c r="N19" s="271" t="str">
        <f>INDEX(PRIJEVODI!B:D,MATCH("URA75-020",PRIJEVODI!A:A,0),MATCH(NASLOV!$B$2,PRIJEVODI!$B$1:$D$1,0))</f>
        <v>STEUER</v>
      </c>
      <c r="O19" s="272"/>
      <c r="P19" s="272"/>
      <c r="Q19" s="272"/>
      <c r="R19" s="272"/>
      <c r="S19" s="278"/>
    </row>
    <row r="20" spans="2:19" x14ac:dyDescent="0.2">
      <c r="B20" s="284"/>
      <c r="C20" s="287"/>
      <c r="D20" s="288"/>
      <c r="E20" s="265"/>
      <c r="F20" s="326"/>
      <c r="G20" s="326"/>
      <c r="H20" s="326"/>
      <c r="I20" s="326"/>
      <c r="J20" s="326"/>
      <c r="K20" s="326"/>
      <c r="L20" s="326"/>
      <c r="M20" s="327"/>
      <c r="N20" s="274"/>
      <c r="O20" s="275"/>
      <c r="P20" s="275"/>
      <c r="Q20" s="275"/>
      <c r="R20" s="275"/>
      <c r="S20" s="276"/>
    </row>
    <row r="21" spans="2:19" ht="12.75" customHeight="1" x14ac:dyDescent="0.2">
      <c r="B21" s="284"/>
      <c r="C21" s="260" t="str">
        <f>INDEX(PRIJEVODI!B:D,MATCH("URA75-009",PRIJEVODI!A:A,0),MATCH(NASLOV!$B$2,PRIJEVODI!$B$1:$D$1,0))</f>
        <v xml:space="preserve">NUMMER </v>
      </c>
      <c r="D21" s="260" t="str">
        <f>INDEX(PRIJEVODI!B:D,MATCH("URA75-010",PRIJEVODI!A:A,0),MATCH(NASLOV!$B$2,PRIJEVODI!$B$1:$D$1,0))</f>
        <v>DATUM</v>
      </c>
      <c r="E21" s="295" t="str">
        <f>INDEX(PRIJEVODI!B:D,MATCH("URA75-012",PRIJEVODI!A:A,0),MATCH(NASLOV!$B$2,PRIJEVODI!$B$1:$D$1,0))</f>
        <v>TITEL - NAME UND NACHNAME, GESCHÄFTSSITZ / SITZORT</v>
      </c>
      <c r="F21" s="296"/>
      <c r="G21" s="301" t="str">
        <f>INDEX(PRIJEVODI!B:D,MATCH("URA75-013",PRIJEVODI!A:A,0),MATCH(NASLOV!$B$2,PRIJEVODI!$B$1:$D$1,0))</f>
        <v>STEUERNUMMER (UID)</v>
      </c>
      <c r="H21" s="263" t="str">
        <f>INDEX(PRIJEVODI!B:D,MATCH("URA75-014",PRIJEVODI!A:A,0),MATCH(NASLOV!$B$2,PRIJEVODI!$B$1:$D$1,0))</f>
        <v>LIEFERWERT</v>
      </c>
      <c r="I21" s="322"/>
      <c r="J21" s="323"/>
      <c r="K21" s="301" t="str">
        <f>INDEX(PRIJEVODI!B:D,MATCH("URA75-018",PRIJEVODI!A:A,0),MATCH(NASLOV!$B$2,PRIJEVODI!$B$1:$D$1,0))</f>
        <v>GESAMTBETRAG DER RECHNUNG INKLUSIVE MwST.</v>
      </c>
      <c r="L21" s="45"/>
      <c r="M21" s="260" t="str">
        <f>INDEX(PRIJEVODI!B:D,MATCH("URA75-030",PRIJEVODI!A:A,0),MATCH(NASLOV!$B$2,PRIJEVODI!$B$1:$D$1,0))</f>
        <v>TOTAL</v>
      </c>
      <c r="N21" s="277">
        <v>0.05</v>
      </c>
      <c r="O21" s="278"/>
      <c r="P21" s="277">
        <v>0.13</v>
      </c>
      <c r="Q21" s="278"/>
      <c r="R21" s="277">
        <v>0.25</v>
      </c>
      <c r="S21" s="278"/>
    </row>
    <row r="22" spans="2:19" x14ac:dyDescent="0.2">
      <c r="B22" s="284"/>
      <c r="C22" s="261"/>
      <c r="D22" s="261"/>
      <c r="E22" s="297"/>
      <c r="F22" s="298"/>
      <c r="G22" s="302"/>
      <c r="H22" s="264"/>
      <c r="I22" s="324"/>
      <c r="J22" s="325"/>
      <c r="K22" s="302"/>
      <c r="L22" s="46"/>
      <c r="M22" s="261"/>
      <c r="N22" s="274"/>
      <c r="O22" s="276"/>
      <c r="P22" s="274"/>
      <c r="Q22" s="276"/>
      <c r="R22" s="274"/>
      <c r="S22" s="276"/>
    </row>
    <row r="23" spans="2:19" x14ac:dyDescent="0.2">
      <c r="B23" s="284"/>
      <c r="C23" s="261"/>
      <c r="D23" s="261"/>
      <c r="E23" s="297"/>
      <c r="F23" s="298"/>
      <c r="G23" s="302"/>
      <c r="H23" s="264"/>
      <c r="I23" s="324"/>
      <c r="J23" s="325"/>
      <c r="K23" s="302"/>
      <c r="L23" s="46"/>
      <c r="M23" s="261"/>
      <c r="N23" s="301" t="str">
        <f>INDEX(PRIJEVODI!B:D,MATCH("URA75-022",PRIJEVODI!A:A,0),MATCH(NASLOV!$B$2,PRIJEVODI!$B$1:$D$1,0))</f>
        <v>ABZUGSFÄHIG</v>
      </c>
      <c r="O23" s="301" t="str">
        <f>INDEX(PRIJEVODI!B:D,MATCH("URA75-023",PRIJEVODI!A:A,0),MATCH(NASLOV!$B$2,PRIJEVODI!$B$1:$D$1,0))</f>
        <v>NICHT ABZUGSFÄHIG</v>
      </c>
      <c r="P23" s="301" t="str">
        <f>INDEX(PRIJEVODI!B:D,MATCH("URA75-025",PRIJEVODI!A:A,0),MATCH(NASLOV!$B$2,PRIJEVODI!$B$1:$D$1,0))</f>
        <v>ABZUGSFÄHIG</v>
      </c>
      <c r="Q23" s="301" t="str">
        <f>INDEX(PRIJEVODI!B:D,MATCH("URA75-026",PRIJEVODI!A:A,0),MATCH(NASLOV!$B$2,PRIJEVODI!$B$1:$D$1,0))</f>
        <v>NICHT ABZUGSFÄHIG</v>
      </c>
      <c r="R23" s="301" t="str">
        <f>INDEX(PRIJEVODI!B:D,MATCH("URA75-028",PRIJEVODI!A:A,0),MATCH(NASLOV!$B$2,PRIJEVODI!$B$1:$D$1,0))</f>
        <v>ABZUGSFÄHIG</v>
      </c>
      <c r="S23" s="301" t="str">
        <f>INDEX(PRIJEVODI!B:D,MATCH("URA75-029",PRIJEVODI!A:A,0),MATCH(NASLOV!$B$2,PRIJEVODI!$B$1:$D$1,0))</f>
        <v>NICHT ABZUGSFÄHIG</v>
      </c>
    </row>
    <row r="24" spans="2:19" x14ac:dyDescent="0.2">
      <c r="B24" s="284"/>
      <c r="C24" s="261"/>
      <c r="D24" s="261"/>
      <c r="E24" s="297"/>
      <c r="F24" s="298"/>
      <c r="G24" s="302"/>
      <c r="H24" s="264"/>
      <c r="I24" s="324"/>
      <c r="J24" s="325"/>
      <c r="K24" s="302"/>
      <c r="L24" s="48" t="str">
        <f>INDEX(PRIJEVODI!B:D,MATCH("URA75-019",PRIJEVODI!A:A,0),MATCH(NASLOV!$B$2,PRIJEVODI!$B$1:$D$1,0))</f>
        <v>STEUERBEFREIUNGEN / ABZUGSFÄHIG</v>
      </c>
      <c r="M24" s="261"/>
      <c r="N24" s="302"/>
      <c r="O24" s="302"/>
      <c r="P24" s="302"/>
      <c r="Q24" s="302"/>
      <c r="R24" s="302"/>
      <c r="S24" s="302"/>
    </row>
    <row r="25" spans="2:19" x14ac:dyDescent="0.2">
      <c r="B25" s="284"/>
      <c r="C25" s="261"/>
      <c r="D25" s="261"/>
      <c r="E25" s="297"/>
      <c r="F25" s="298"/>
      <c r="G25" s="302"/>
      <c r="H25" s="265"/>
      <c r="I25" s="326"/>
      <c r="J25" s="327"/>
      <c r="K25" s="302"/>
      <c r="L25" s="46"/>
      <c r="M25" s="261"/>
      <c r="N25" s="302"/>
      <c r="O25" s="302"/>
      <c r="P25" s="302"/>
      <c r="Q25" s="302"/>
      <c r="R25" s="302"/>
      <c r="S25" s="302"/>
    </row>
    <row r="26" spans="2:19" x14ac:dyDescent="0.2">
      <c r="B26" s="284"/>
      <c r="C26" s="261"/>
      <c r="D26" s="261"/>
      <c r="E26" s="297"/>
      <c r="F26" s="298"/>
      <c r="G26" s="302"/>
      <c r="H26" s="330">
        <v>0.05</v>
      </c>
      <c r="I26" s="330">
        <v>0.1</v>
      </c>
      <c r="J26" s="330">
        <v>0.25</v>
      </c>
      <c r="K26" s="302"/>
      <c r="L26" s="46"/>
      <c r="M26" s="261"/>
      <c r="N26" s="302"/>
      <c r="O26" s="302"/>
      <c r="P26" s="302"/>
      <c r="Q26" s="302"/>
      <c r="R26" s="302"/>
      <c r="S26" s="302"/>
    </row>
    <row r="27" spans="2:19" x14ac:dyDescent="0.2">
      <c r="B27" s="285"/>
      <c r="C27" s="262"/>
      <c r="D27" s="262"/>
      <c r="E27" s="299"/>
      <c r="F27" s="300"/>
      <c r="G27" s="303"/>
      <c r="H27" s="262"/>
      <c r="I27" s="262"/>
      <c r="J27" s="262"/>
      <c r="K27" s="303"/>
      <c r="L27" s="47"/>
      <c r="M27" s="262"/>
      <c r="N27" s="303"/>
      <c r="O27" s="303"/>
      <c r="P27" s="303"/>
      <c r="Q27" s="303"/>
      <c r="R27" s="303"/>
      <c r="S27" s="303"/>
    </row>
    <row r="28" spans="2:19" x14ac:dyDescent="0.2">
      <c r="B28" s="33">
        <v>1</v>
      </c>
      <c r="C28" s="33">
        <v>2</v>
      </c>
      <c r="D28" s="33">
        <v>3</v>
      </c>
      <c r="E28" s="263">
        <v>4</v>
      </c>
      <c r="F28" s="323"/>
      <c r="G28" s="33">
        <v>5</v>
      </c>
      <c r="H28" s="33">
        <v>6</v>
      </c>
      <c r="I28" s="33">
        <v>7</v>
      </c>
      <c r="J28" s="3">
        <v>8</v>
      </c>
      <c r="K28" s="33">
        <v>9</v>
      </c>
      <c r="L28" s="33"/>
      <c r="M28" s="33" t="s">
        <v>0</v>
      </c>
      <c r="N28" s="33">
        <v>11</v>
      </c>
      <c r="O28" s="67">
        <v>12</v>
      </c>
      <c r="P28" s="33">
        <v>13</v>
      </c>
      <c r="Q28" s="67">
        <v>14</v>
      </c>
      <c r="R28" s="33">
        <v>15</v>
      </c>
      <c r="S28" s="67">
        <v>16</v>
      </c>
    </row>
    <row r="29" spans="2:19" x14ac:dyDescent="0.2">
      <c r="B29" s="74"/>
      <c r="C29" s="69"/>
      <c r="D29" s="70"/>
      <c r="E29" s="71"/>
      <c r="F29" s="2"/>
      <c r="G29" s="71"/>
      <c r="H29" s="75"/>
      <c r="I29" s="75"/>
      <c r="J29" s="2"/>
      <c r="K29" s="76"/>
      <c r="L29" s="73"/>
      <c r="M29" s="77"/>
      <c r="N29" s="2"/>
      <c r="O29" s="2"/>
      <c r="P29" s="2"/>
      <c r="Q29" s="2"/>
      <c r="R29" s="34"/>
      <c r="S29" s="2"/>
    </row>
    <row r="30" spans="2:19" x14ac:dyDescent="0.2">
      <c r="B30" s="74"/>
      <c r="C30" s="69"/>
      <c r="D30" s="70"/>
      <c r="E30" s="71"/>
      <c r="F30" s="2"/>
      <c r="G30" s="71"/>
      <c r="H30" s="75"/>
      <c r="I30" s="75"/>
      <c r="J30" s="2"/>
      <c r="K30" s="76"/>
      <c r="L30" s="73"/>
      <c r="M30" s="77"/>
      <c r="N30" s="2"/>
      <c r="O30" s="2"/>
      <c r="P30" s="2"/>
      <c r="Q30" s="2"/>
      <c r="R30" s="34"/>
      <c r="S30" s="2"/>
    </row>
    <row r="31" spans="2:19" x14ac:dyDescent="0.2">
      <c r="B31" s="74"/>
      <c r="C31" s="69"/>
      <c r="D31" s="70"/>
      <c r="E31" s="71"/>
      <c r="F31" s="2"/>
      <c r="G31" s="71"/>
      <c r="H31" s="75"/>
      <c r="I31" s="75"/>
      <c r="J31" s="2"/>
      <c r="K31" s="76"/>
      <c r="L31" s="73"/>
      <c r="M31" s="77"/>
      <c r="N31" s="2"/>
      <c r="O31" s="2"/>
      <c r="P31" s="2"/>
      <c r="Q31" s="2"/>
      <c r="R31" s="34"/>
      <c r="S31" s="2"/>
    </row>
    <row r="32" spans="2:19" x14ac:dyDescent="0.2">
      <c r="B32" s="74"/>
      <c r="C32" s="69"/>
      <c r="D32" s="70"/>
      <c r="E32" s="71"/>
      <c r="F32" s="2"/>
      <c r="G32" s="71"/>
      <c r="H32" s="75"/>
      <c r="I32" s="75"/>
      <c r="J32" s="2"/>
      <c r="K32" s="76"/>
      <c r="L32" s="73"/>
      <c r="M32" s="77"/>
      <c r="N32" s="2"/>
      <c r="O32" s="2"/>
      <c r="P32" s="2"/>
      <c r="Q32" s="2"/>
      <c r="R32" s="34"/>
      <c r="S32" s="2"/>
    </row>
    <row r="33" spans="2:19" x14ac:dyDescent="0.2">
      <c r="B33" s="74"/>
      <c r="C33" s="69"/>
      <c r="D33" s="70"/>
      <c r="E33" s="71"/>
      <c r="F33" s="2"/>
      <c r="G33" s="71"/>
      <c r="H33" s="75"/>
      <c r="I33" s="75"/>
      <c r="J33" s="2"/>
      <c r="K33" s="76"/>
      <c r="L33" s="73"/>
      <c r="M33" s="77"/>
      <c r="N33" s="2"/>
      <c r="O33" s="2"/>
      <c r="P33" s="2"/>
      <c r="Q33" s="2"/>
      <c r="R33" s="34"/>
      <c r="S33" s="2"/>
    </row>
    <row r="34" spans="2:19" x14ac:dyDescent="0.2">
      <c r="B34" s="74"/>
      <c r="C34" s="69"/>
      <c r="D34" s="70"/>
      <c r="E34" s="71"/>
      <c r="F34" s="2"/>
      <c r="G34" s="71"/>
      <c r="H34" s="75"/>
      <c r="I34" s="75"/>
      <c r="J34" s="2"/>
      <c r="K34" s="76"/>
      <c r="L34" s="73"/>
      <c r="M34" s="77"/>
      <c r="N34" s="2"/>
      <c r="O34" s="2"/>
      <c r="P34" s="2"/>
      <c r="Q34" s="2"/>
      <c r="R34" s="34"/>
      <c r="S34" s="2"/>
    </row>
    <row r="35" spans="2:19" x14ac:dyDescent="0.2">
      <c r="B35" s="74"/>
      <c r="C35" s="69"/>
      <c r="D35" s="70"/>
      <c r="E35" s="71"/>
      <c r="F35" s="2"/>
      <c r="G35" s="71"/>
      <c r="H35" s="75"/>
      <c r="I35" s="75"/>
      <c r="J35" s="2"/>
      <c r="K35" s="76"/>
      <c r="L35" s="73"/>
      <c r="M35" s="77"/>
      <c r="N35" s="2"/>
      <c r="O35" s="2"/>
      <c r="P35" s="2"/>
      <c r="Q35" s="2"/>
      <c r="R35" s="34"/>
      <c r="S35" s="2"/>
    </row>
    <row r="36" spans="2:19" x14ac:dyDescent="0.2">
      <c r="B36" s="74"/>
      <c r="C36" s="69"/>
      <c r="D36" s="70"/>
      <c r="E36" s="71"/>
      <c r="F36" s="2"/>
      <c r="G36" s="71"/>
      <c r="H36" s="75"/>
      <c r="I36" s="75"/>
      <c r="J36" s="2"/>
      <c r="K36" s="76"/>
      <c r="L36" s="73"/>
      <c r="M36" s="77"/>
      <c r="N36" s="2"/>
      <c r="O36" s="2"/>
      <c r="P36" s="2"/>
      <c r="Q36" s="2"/>
      <c r="R36" s="34"/>
      <c r="S36" s="2"/>
    </row>
    <row r="37" spans="2:19" x14ac:dyDescent="0.2">
      <c r="K37" s="35">
        <f>SUM(K29:K36)</f>
        <v>0</v>
      </c>
    </row>
  </sheetData>
  <mergeCells count="37">
    <mergeCell ref="C7:F8"/>
    <mergeCell ref="C9:F9"/>
    <mergeCell ref="C10:F10"/>
    <mergeCell ref="C11:F12"/>
    <mergeCell ref="C13:F13"/>
    <mergeCell ref="A1:F2"/>
    <mergeCell ref="C3:F3"/>
    <mergeCell ref="Q3:R3"/>
    <mergeCell ref="C4:F5"/>
    <mergeCell ref="C6:F6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M21:M27"/>
    <mergeCell ref="N21:O22"/>
    <mergeCell ref="E28:F28"/>
    <mergeCell ref="L15:L16"/>
    <mergeCell ref="P23:P27"/>
    <mergeCell ref="Q23:Q27"/>
    <mergeCell ref="R23:R27"/>
    <mergeCell ref="P21:Q22"/>
    <mergeCell ref="R21:S22"/>
    <mergeCell ref="N23:N27"/>
    <mergeCell ref="O23:O27"/>
    <mergeCell ref="O16:R16"/>
    <mergeCell ref="G15:K16"/>
    <mergeCell ref="S23:S27"/>
    <mergeCell ref="H26:H27"/>
    <mergeCell ref="I26:I27"/>
    <mergeCell ref="J26:J27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73"/>
  <sheetViews>
    <sheetView view="pageBreakPreview" topLeftCell="A31" zoomScale="70" zoomScaleNormal="100" zoomScaleSheetLayoutView="70" workbookViewId="0">
      <selection activeCell="D15" sqref="D15"/>
    </sheetView>
  </sheetViews>
  <sheetFormatPr baseColWidth="10" defaultColWidth="9" defaultRowHeight="12.75" x14ac:dyDescent="0.2"/>
  <cols>
    <col min="1" max="1" width="12" customWidth="1"/>
    <col min="2" max="2" width="72.5" customWidth="1"/>
    <col min="3" max="3" width="21.875" customWidth="1"/>
    <col min="4" max="4" width="22.875" customWidth="1"/>
    <col min="5" max="5" width="21.375" customWidth="1"/>
    <col min="6" max="6" width="10.375" bestFit="1" customWidth="1"/>
  </cols>
  <sheetData>
    <row r="2" spans="2:4" x14ac:dyDescent="0.2">
      <c r="D2" s="1" t="str">
        <f>INDEX(PRIJEVODI!B:D,MATCH("PDV-001",PRIJEVODI!A:A,0),MATCH(NASLOV!$B$2,PRIJEVODI!$B$1:$D$1,0))</f>
        <v>UVA Formular</v>
      </c>
    </row>
    <row r="3" spans="2:4" x14ac:dyDescent="0.2">
      <c r="D3" s="38"/>
    </row>
    <row r="4" spans="2:4" ht="13.5" thickBot="1" x14ac:dyDescent="0.25"/>
    <row r="5" spans="2:4" x14ac:dyDescent="0.2">
      <c r="B5" s="339" t="str">
        <f>INDEX(PRIJEVODI!B:D,MATCH("PDV-002",PRIJEVODI!A:A,0),MATCH(NASLOV!$B$2,PRIJEVODI!$B$1:$D$1,0))</f>
        <v>STEUERPFLICHTIGER (VOR- /NACHNAME UND ADRESSE: Ort, Strasse und Hausnummer)</v>
      </c>
      <c r="C5" s="348" t="str">
        <f>INDEX(PRIJEVODI!B:D,MATCH("PDV-003",PRIJEVODI!A:A,0),MATCH(NASLOV!$B$2,PRIJEVODI!$B$1:$D$1,0))</f>
        <v>STEUERLICHER VERTRETER
 (VOR- /NACHNAME UND ADRESSE:Ort, Strasse und Hausnummer)</v>
      </c>
      <c r="D5" s="345" t="str">
        <f>INDEX(PRIJEVODI!B:D,MATCH("PDV-004",PRIJEVODI!A:A,0),MATCH(NASLOV!$B$2,PRIJEVODI!$B$1:$D$1,0))</f>
        <v>ZUSTÄNDIGES FINANZAMT</v>
      </c>
    </row>
    <row r="6" spans="2:4" x14ac:dyDescent="0.2">
      <c r="B6" s="340"/>
      <c r="C6" s="349"/>
      <c r="D6" s="346"/>
    </row>
    <row r="7" spans="2:4" x14ac:dyDescent="0.2">
      <c r="B7" s="341"/>
      <c r="C7" s="350"/>
      <c r="D7" s="347"/>
    </row>
    <row r="8" spans="2:4" x14ac:dyDescent="0.2">
      <c r="B8" s="342" t="str">
        <f>+NASLOV!B5</f>
        <v>Markus Renz</v>
      </c>
      <c r="C8" s="351"/>
      <c r="D8" s="354" t="str">
        <f>NASLOV!B15</f>
        <v>Zagreb, Odjel za strane porezne obveznike</v>
      </c>
    </row>
    <row r="9" spans="2:4" x14ac:dyDescent="0.2">
      <c r="B9" s="343"/>
      <c r="C9" s="352"/>
      <c r="D9" s="355"/>
    </row>
    <row r="10" spans="2:4" ht="24.6" customHeight="1" x14ac:dyDescent="0.2">
      <c r="B10" s="344"/>
      <c r="C10" s="353"/>
      <c r="D10" s="336" t="str">
        <f>INDEX(PRIJEVODI!B:D,MATCH("PDV-007",PRIJEVODI!A:A,0),MATCH(NASLOV!$B$2,PRIJEVODI!$B$1:$D$1,0))</f>
        <v>UMSATZSTEUERVORANMELDUNG FÜR DEN ZEITRAUM VON 01.07. BIS 31.07.2020</v>
      </c>
    </row>
    <row r="11" spans="2:4" x14ac:dyDescent="0.2">
      <c r="B11" s="333" t="str">
        <f>INDEX(PRIJEVODI!B:D,MATCH("PDV-005",PRIJEVODI!A:A,0),MATCH(NASLOV!$B$2,PRIJEVODI!$B$1:$D$1,0))</f>
        <v>KLASSIFIKATION GEMÄSS NOMENKLATUR
(TÄTIGKEITS-KENNZIFFER)</v>
      </c>
      <c r="C11" s="301" t="str">
        <f>INDEX(PRIJEVODI!B:D,MATCH("PDV-006",PRIJEVODI!A:A,0),MATCH(NASLOV!$B$2,PRIJEVODI!$B$1:$D$1,0))</f>
        <v>STEUERNUMMER</v>
      </c>
      <c r="D11" s="337"/>
    </row>
    <row r="12" spans="2:4" x14ac:dyDescent="0.2">
      <c r="B12" s="334"/>
      <c r="C12" s="302"/>
      <c r="D12" s="337"/>
    </row>
    <row r="13" spans="2:4" x14ac:dyDescent="0.2">
      <c r="B13" s="335"/>
      <c r="C13" s="303"/>
      <c r="D13" s="337"/>
    </row>
    <row r="14" spans="2:4" ht="13.5" thickBot="1" x14ac:dyDescent="0.25">
      <c r="B14" s="49" t="str">
        <f>+NASLOV!B9</f>
        <v>HR6411581446</v>
      </c>
      <c r="C14" s="13"/>
      <c r="D14" s="338"/>
    </row>
    <row r="15" spans="2:4" ht="45" customHeight="1" thickBot="1" x14ac:dyDescent="0.25">
      <c r="B15" s="11" t="str">
        <f>INDEX(PRIJEVODI!B:D,MATCH("PDV-008",PRIJEVODI!A:A,0),MATCH(NASLOV!$B$2,PRIJEVODI!$B$1:$D$1,0))</f>
        <v>BESCHREIBUNG</v>
      </c>
      <c r="C15" s="12" t="str">
        <f>INDEX(PRIJEVODI!B:D,MATCH("PDV-009",PRIJEVODI!A:A,0),MATCH(NASLOV!$B$2,PRIJEVODI!$B$1:$D$1,0))</f>
        <v>Lieferwert
(Betrag in Kuna und Lipa)</v>
      </c>
      <c r="D15" s="52" t="str">
        <f>INDEX(PRIJEVODI!B:D,MATCH("PDV-010",PRIJEVODI!A:A,0),MATCH(NASLOV!$B$2,PRIJEVODI!$B$1:$D$1,0))</f>
        <v>Steuersatz von 5%,13%, 25% 
(Betrag in Kuna und Lipa)</v>
      </c>
    </row>
    <row r="16" spans="2:4" ht="25.5" x14ac:dyDescent="0.2">
      <c r="B16" s="14" t="str">
        <f>INDEX(PRIJEVODI!B:D,MATCH("PDV-011",PRIJEVODI!A:A,0),MATCH(NASLOV!$B$2,PRIJEVODI!$B$1:$D$1,0))</f>
        <v xml:space="preserve">STEUERABRECHNUNG DER ERBRACHTEN LIEFERUNGEN UND DIENSTLEISTUNGEN IM GEGEBENEN ZEITRAUM: INSGESAMT (I + II) </v>
      </c>
      <c r="C16" s="23" t="e">
        <f>C17+C28</f>
        <v>#REF!</v>
      </c>
      <c r="D16" s="53" t="s">
        <v>6</v>
      </c>
    </row>
    <row r="17" spans="2:5" ht="25.5" x14ac:dyDescent="0.2">
      <c r="B17" s="15" t="str">
        <f>INDEX(PRIJEVODI!B:D,MATCH("PDV-012",PRIJEVODI!A:A,0),MATCH(NASLOV!$B$2,PRIJEVODI!$B$1:$D$1,0))</f>
        <v>I. NICHT STEUERBARE UND BEFREITE TRANSAKTIONEN - INSGESAMT (1+2+3+4+5+6+7+8+9+10)</v>
      </c>
      <c r="C17" s="24">
        <f>SUM(C18:C27)</f>
        <v>0</v>
      </c>
      <c r="D17" s="53" t="s">
        <v>6</v>
      </c>
    </row>
    <row r="18" spans="2:5" ht="37.5" customHeight="1" x14ac:dyDescent="0.2">
      <c r="B18" s="27" t="str">
        <f>INDEX(PRIJEVODI!B:D,MATCH("PDV-013",PRIJEVODI!A:A,0),MATCH(NASLOV!$B$2,PRIJEVODI!$B$1:$D$1,0))</f>
        <v xml:space="preserve">1.   LIEFERUNGEN NACH KROATIEN BEI DENEN DER LEISTUNGSEMFÄNGER DIE MEHRWERTSTEUER BERECHNET / INLÄNDISCHER ÜBERGANG DER STEUERSCHULD </v>
      </c>
      <c r="C18" s="26">
        <v>0</v>
      </c>
      <c r="D18" s="53" t="s">
        <v>6</v>
      </c>
    </row>
    <row r="19" spans="2:5" x14ac:dyDescent="0.2">
      <c r="B19" s="7" t="str">
        <f>INDEX(PRIJEVODI!B:D,MATCH("PDV-014",PRIJEVODI!A:A,0),MATCH(NASLOV!$B$2,PRIJEVODI!$B$1:$D$1,0))</f>
        <v>2.   LIEFERUNGEN VON GÜTERN IN ANDERE MITGLIEDSTAATEN</v>
      </c>
      <c r="C19" s="26">
        <v>0</v>
      </c>
      <c r="D19" s="53" t="s">
        <v>6</v>
      </c>
    </row>
    <row r="20" spans="2:5" x14ac:dyDescent="0.2">
      <c r="B20" s="8" t="str">
        <f>INDEX(PRIJEVODI!B:D,MATCH("PDV-015",PRIJEVODI!A:A,0),MATCH(NASLOV!$B$2,PRIJEVODI!$B$1:$D$1,0))</f>
        <v>3.   LIEFERUNGEN VON GÜTERN INNERHALB DER EU</v>
      </c>
      <c r="C20" s="26">
        <v>0</v>
      </c>
      <c r="D20" s="53" t="s">
        <v>6</v>
      </c>
      <c r="E20" s="28"/>
    </row>
    <row r="21" spans="2:5" x14ac:dyDescent="0.2">
      <c r="B21" s="8" t="str">
        <f>INDEX(PRIJEVODI!B:D,MATCH("PDV-016",PRIJEVODI!A:A,0),MATCH(NASLOV!$B$2,PRIJEVODI!$B$1:$D$1,0))</f>
        <v>4.   ERBRACHTE DIENSTLEISTUNGEN INNERHALB DER EU</v>
      </c>
      <c r="C21" s="26">
        <v>0</v>
      </c>
      <c r="D21" s="53" t="s">
        <v>6</v>
      </c>
    </row>
    <row r="22" spans="2:5" ht="26.45" customHeight="1" x14ac:dyDescent="0.2">
      <c r="B22" s="9" t="str">
        <f>INDEX(PRIJEVODI!B:D,MATCH("PDV-017",PRIJEVODI!A:A,0),MATCH(NASLOV!$B$2,PRIJEVODI!$B$1:$D$1,0))</f>
        <v xml:space="preserve">5.   ERBRACHTE DIENSTLEISTUNGEN AN PERSONEN OHNE SITZ IN KROATIEN       </v>
      </c>
      <c r="C22" s="26">
        <v>0</v>
      </c>
      <c r="D22" s="53" t="s">
        <v>6</v>
      </c>
    </row>
    <row r="23" spans="2:5" ht="27" customHeight="1" x14ac:dyDescent="0.2">
      <c r="B23" s="7" t="str">
        <f>INDEX(PRIJEVODI!B:D,MATCH("PDV-018",PRIJEVODI!A:A,0),MATCH(NASLOV!$B$2,PRIJEVODI!$B$1:$D$1,0))</f>
        <v>6.   MONTAGE UND INSTALLATION VON GÜTERN IN EINEM ANDEREN MITGLIEDSTAAT</v>
      </c>
      <c r="C23" s="26">
        <v>0</v>
      </c>
      <c r="D23" s="53" t="s">
        <v>6</v>
      </c>
    </row>
    <row r="24" spans="2:5" ht="12.75" customHeight="1" x14ac:dyDescent="0.2">
      <c r="B24" s="7" t="str">
        <f>INDEX(PRIJEVODI!B:D,MATCH("PDV-019",PRIJEVODI!A:A,0),MATCH(NASLOV!$B$2,PRIJEVODI!$B$1:$D$1,0))</f>
        <v xml:space="preserve">7.   LIEFERUNGEN VON NEUEN FAHRZEUGEN IN DIE EU </v>
      </c>
      <c r="C24" s="26">
        <v>0</v>
      </c>
      <c r="D24" s="53" t="s">
        <v>6</v>
      </c>
    </row>
    <row r="25" spans="2:5" x14ac:dyDescent="0.2">
      <c r="B25" s="8" t="str">
        <f>INDEX(PRIJEVODI!B:D,MATCH("PDV-020",PRIJEVODI!A:A,0),MATCH(NASLOV!$B$2,PRIJEVODI!$B$1:$D$1,0))</f>
        <v xml:space="preserve">8.   INLÄNDISCHE LIEFERUNGEN       </v>
      </c>
      <c r="C25" s="26">
        <v>0</v>
      </c>
      <c r="D25" s="53" t="s">
        <v>6</v>
      </c>
    </row>
    <row r="26" spans="2:5" x14ac:dyDescent="0.2">
      <c r="B26" s="8" t="str">
        <f>INDEX(PRIJEVODI!B:D,MATCH("PDV-021",PRIJEVODI!A:A,0),MATCH(NASLOV!$B$2,PRIJEVODI!$B$1:$D$1,0))</f>
        <v>9.   AUSFUHR DIENSTLEISTUNGEN</v>
      </c>
      <c r="C26" s="26">
        <v>0</v>
      </c>
      <c r="D26" s="53" t="s">
        <v>6</v>
      </c>
    </row>
    <row r="27" spans="2:5" ht="13.5" thickBot="1" x14ac:dyDescent="0.25">
      <c r="B27" s="16" t="str">
        <f>INDEX(PRIJEVODI!B:D,MATCH("PDV-022",PRIJEVODI!A:A,0),MATCH(NASLOV!$B$2,PRIJEVODI!$B$1:$D$1,0))</f>
        <v>10.   SONSTIGE BEFREIUNGEN</v>
      </c>
      <c r="C27" s="26">
        <v>0</v>
      </c>
      <c r="D27" s="54"/>
    </row>
    <row r="28" spans="2:5" ht="27" customHeight="1" x14ac:dyDescent="0.2">
      <c r="B28" s="17" t="str">
        <f>INDEX(PRIJEVODI!B:D,MATCH("PDV-023",PRIJEVODI!A:A,0),MATCH(NASLOV!$B$2,PRIJEVODI!$B$1:$D$1,0))</f>
        <v>II. STEUERBARE TRANSAKTIONEN – INSGESAMT 
(1+2+3+4+5+6+7+8+9+10+11+12+13+14+15)</v>
      </c>
      <c r="C28" s="25" t="e">
        <f>SUM(C29:C43)-0.01</f>
        <v>#REF!</v>
      </c>
      <c r="D28" s="55" t="e">
        <f>SUM(D29:D43)-0.01</f>
        <v>#REF!</v>
      </c>
    </row>
    <row r="29" spans="2:5" ht="29.45" customHeight="1" x14ac:dyDescent="0.2">
      <c r="B29" s="19" t="str">
        <f>INDEX(PRIJEVODI!B:D,MATCH("PDV-024",PRIJEVODI!A:A,0),MATCH(NASLOV!$B$2,PRIJEVODI!$B$1:$D$1,0))</f>
        <v>1.   LIEFERUNGEN VON GÜTERN UND DIENSTLEISTUNGEN IN KROATIEN 
ZUM STEUERSATZ VON 5%</v>
      </c>
      <c r="C29" s="26">
        <f>'I-RA'!S93</f>
        <v>0</v>
      </c>
      <c r="D29" s="26">
        <f>'I-RA'!T93</f>
        <v>0</v>
      </c>
    </row>
    <row r="30" spans="2:5" ht="27" customHeight="1" x14ac:dyDescent="0.2">
      <c r="B30" s="19" t="str">
        <f>INDEX(PRIJEVODI!B:D,MATCH("PDV-025",PRIJEVODI!A:A,0),MATCH(NASLOV!$B$2,PRIJEVODI!$B$1:$D$1,0))</f>
        <v>2.   LIEFERUNGEN VON GÜTERN UND DIENSTLEISTUNGEN IN KROATIEN 
ZUM STEUERSATZ VON  13%</v>
      </c>
      <c r="C30" s="56">
        <f>'I-RA'!U93</f>
        <v>40582.3676923077</v>
      </c>
      <c r="D30" s="56">
        <f>'I-RA'!V93</f>
        <v>5275.7077999999992</v>
      </c>
    </row>
    <row r="31" spans="2:5" ht="47.45" customHeight="1" x14ac:dyDescent="0.2">
      <c r="B31" s="19" t="str">
        <f>INDEX(PRIJEVODI!B:D,MATCH("PDV-026",PRIJEVODI!A:A,0),MATCH(NASLOV!$B$2,PRIJEVODI!$B$1:$D$1,0))</f>
        <v>3.   LIEFERUNGEN VON GÜTERN UND DIENSTLEISTUNGEN IN KROATIEN 
ZUM STEUERSATZ VON   25%</v>
      </c>
      <c r="C31" s="56">
        <v>0</v>
      </c>
      <c r="D31" s="56">
        <v>0</v>
      </c>
      <c r="E31" s="28"/>
    </row>
    <row r="32" spans="2:5" ht="37.5" customHeight="1" x14ac:dyDescent="0.2">
      <c r="B32" s="7" t="str">
        <f>INDEX(PRIJEVODI!B:D,MATCH("PDV-027",PRIJEVODI!A:A,0),MATCH(NASLOV!$B$2,PRIJEVODI!$B$1:$D$1,0))</f>
        <v xml:space="preserve">4.  EMPFANGENE LIEFERUNGEN IN KROATIEN BEI DENEN DIE MEHRWERTSTEUER DER EMFÄNGER ABRECHNET (INLÄNDISCHER ÜBERGANG DER STEUERSCHULD) </v>
      </c>
      <c r="C32" s="26">
        <v>0</v>
      </c>
      <c r="D32" s="56">
        <v>0</v>
      </c>
    </row>
    <row r="33" spans="2:8" ht="26.25" customHeight="1" x14ac:dyDescent="0.2">
      <c r="B33" s="7" t="str">
        <f>INDEX(PRIJEVODI!B:D,MATCH("PDV-028",PRIJEVODI!A:A,0),MATCH(NASLOV!$B$2,PRIJEVODI!$B$1:$D$1,0))</f>
        <v>5. ERWERB VON GÜTERN INNERHALB DER EU ZUM STEUERSATZ VON  5%</v>
      </c>
      <c r="C33" s="26">
        <v>0</v>
      </c>
      <c r="D33" s="56">
        <v>0</v>
      </c>
    </row>
    <row r="34" spans="2:8" ht="25.15" customHeight="1" x14ac:dyDescent="0.2">
      <c r="B34" s="7" t="str">
        <f>INDEX(PRIJEVODI!B:D,MATCH("PDV-029",PRIJEVODI!A:A,0),MATCH(NASLOV!$B$2,PRIJEVODI!$B$1:$D$1,0))</f>
        <v>6.  ERWERB VON GÜTERN INNERHALB DER EU ZUM STEUERSATZ VON  13%</v>
      </c>
      <c r="C34" s="26">
        <v>0</v>
      </c>
      <c r="D34" s="56">
        <v>0</v>
      </c>
    </row>
    <row r="35" spans="2:8" ht="25.15" customHeight="1" x14ac:dyDescent="0.2">
      <c r="B35" s="7" t="str">
        <f>INDEX(PRIJEVODI!B:D,MATCH("PDV-030",PRIJEVODI!A:A,0),MATCH(NASLOV!$B$2,PRIJEVODI!$B$1:$D$1,0))</f>
        <v>7.  ERWERB VON GÜTERN INNERHALB DER EU ZUM STEUERSATZ VON  25%</v>
      </c>
      <c r="C35" s="26">
        <f>C51</f>
        <v>0</v>
      </c>
      <c r="D35" s="56">
        <v>0</v>
      </c>
      <c r="E35" s="29"/>
    </row>
    <row r="36" spans="2:8" x14ac:dyDescent="0.2">
      <c r="B36" s="7" t="str">
        <f>INDEX(PRIJEVODI!B:D,MATCH("PDV-031",PRIJEVODI!A:A,0),MATCH(NASLOV!$B$2,PRIJEVODI!$B$1:$D$1,0))</f>
        <v>8.  EMPFANGENE DIENSTLEISTUNGEN AUS DER EU ZUM STEUERSATZ VON  5%</v>
      </c>
      <c r="C36" s="26">
        <v>0</v>
      </c>
      <c r="D36" s="56">
        <v>0</v>
      </c>
    </row>
    <row r="37" spans="2:8" x14ac:dyDescent="0.2">
      <c r="B37" s="7" t="str">
        <f>INDEX(PRIJEVODI!B:D,MATCH("PDV-032",PRIJEVODI!A:A,0),MATCH(NASLOV!$B$2,PRIJEVODI!$B$1:$D$1,0))</f>
        <v>9. EMPFANGENE DIENSTLEISTUNGEN AUS DER EU ZUM STEUERSATZ VON 13%</v>
      </c>
      <c r="C37" s="26">
        <v>0</v>
      </c>
      <c r="D37" s="56">
        <v>0</v>
      </c>
    </row>
    <row r="38" spans="2:8" x14ac:dyDescent="0.2">
      <c r="B38" s="7" t="str">
        <f>INDEX(PRIJEVODI!B:D,MATCH("PDV-033",PRIJEVODI!A:A,0),MATCH(NASLOV!$B$2,PRIJEVODI!$B$1:$D$1,0))</f>
        <v>10.  EMPFANGENE DIENSTLEISTUNGEN AUS DER EU ZUM STEUERSATZ VON 25%</v>
      </c>
      <c r="C38" s="26" t="e">
        <f>+C54</f>
        <v>#REF!</v>
      </c>
      <c r="D38" s="56" t="e">
        <f>+C38*0.25</f>
        <v>#REF!</v>
      </c>
    </row>
    <row r="39" spans="2:8" ht="25.5" x14ac:dyDescent="0.2">
      <c r="B39" s="7" t="str">
        <f>INDEX(PRIJEVODI!B:D,MATCH("PDV-034",PRIJEVODI!A:A,0),MATCH(NASLOV!$B$2,PRIJEVODI!$B$1:$D$1,0))</f>
        <v>11. EMPFANGENE LIEFERUNGEN VON GÜTERN UND DIENSTLEISTUNGEN VON STEUERPFLICHTIGEN OHNE SITZ IN KROATIEN ZUM STEUERSATZ VON 5%</v>
      </c>
      <c r="C39" s="26">
        <v>0</v>
      </c>
      <c r="D39" s="56">
        <v>0</v>
      </c>
    </row>
    <row r="40" spans="2:8" ht="37.5" customHeight="1" x14ac:dyDescent="0.2">
      <c r="B40" s="7" t="str">
        <f>INDEX(PRIJEVODI!B:D,MATCH("PDV-035",PRIJEVODI!A:A,0),MATCH(NASLOV!$B$2,PRIJEVODI!$B$1:$D$1,0))</f>
        <v>12. EMPFANGENE LIEFERUNGEN VON GÜTERN UND DIENSTLEISTUNGEN VON STEUERPFLICHTIGEN OHNE SITZ IN KROATIEN ZUM STEUERSATZ VON 13%</v>
      </c>
      <c r="C40" s="26">
        <v>0</v>
      </c>
      <c r="D40" s="56">
        <v>0</v>
      </c>
    </row>
    <row r="41" spans="2:8" ht="37.5" customHeight="1" x14ac:dyDescent="0.2">
      <c r="B41" s="7" t="str">
        <f>INDEX(PRIJEVODI!B:D,MATCH("PDV-036",PRIJEVODI!A:A,0),MATCH(NASLOV!$B$2,PRIJEVODI!$B$1:$D$1,0))</f>
        <v>13. EMPFANGENE LIEFERUNGEN VON GÜTERN UND DIENSTLEISTUNGEN VON STEUERPFLICHTIGEN OHNE SITZ IN KROATIEN ZUM STEUERSATZ VON  25%</v>
      </c>
      <c r="C41" s="26">
        <v>0</v>
      </c>
      <c r="D41" s="56">
        <v>0</v>
      </c>
    </row>
    <row r="42" spans="2:8" ht="26.25" customHeight="1" x14ac:dyDescent="0.2">
      <c r="B42" s="27" t="str">
        <f>INDEX(PRIJEVODI!B:D,MATCH("PDV-037",PRIJEVODI!A:A,0),MATCH(NASLOV!$B$2,PRIJEVODI!$B$1:$D$1,0))</f>
        <v xml:space="preserve">14. NACHTRÄ'GLICHE BEFREIUNG DER AUSFUHR IM RAHMEN DES PERSONENVERKEHRS </v>
      </c>
      <c r="C42" s="26">
        <v>0</v>
      </c>
      <c r="D42" s="56">
        <v>0</v>
      </c>
    </row>
    <row r="43" spans="2:8" ht="13.5" thickBot="1" x14ac:dyDescent="0.25">
      <c r="B43" s="10" t="str">
        <f>INDEX(PRIJEVODI!B:D,MATCH("PDV-038",PRIJEVODI!A:A,0),MATCH(NASLOV!$B$2,PRIJEVODI!$B$1:$D$1,0))</f>
        <v>15. ABGERECHNETE EINFUHRUMSATZSTEUER</v>
      </c>
      <c r="C43" s="26">
        <v>0</v>
      </c>
      <c r="D43" s="56">
        <v>0</v>
      </c>
    </row>
    <row r="44" spans="2:8" ht="33.6" customHeight="1" x14ac:dyDescent="0.2">
      <c r="B44" s="17" t="str">
        <f>INDEX(PRIJEVODI!B:D,MATCH("PDV-039",PRIJEVODI!A:A,0),MATCH(NASLOV!$B$2,PRIJEVODI!$B$1:$D$1,0))</f>
        <v xml:space="preserve">III. ABGERECHNETE VORSTEUER - INSGESAMT (1+2+3+4+ 5 + 6+7+8+9+10+11+12+13+14+15) </v>
      </c>
      <c r="C44" s="25" t="e">
        <f>SUM(C45:C59)-0.01</f>
        <v>#REF!</v>
      </c>
      <c r="D44" s="55" t="e">
        <f>SUM(D45:D59)-0.01</f>
        <v>#REF!</v>
      </c>
    </row>
    <row r="45" spans="2:8" ht="18" customHeight="1" x14ac:dyDescent="0.2">
      <c r="B45" s="8" t="str">
        <f>INDEX(PRIJEVODI!B:D,MATCH("PDV-040",PRIJEVODI!A:A,0),MATCH(NASLOV!$B$2,PRIJEVODI!$B$1:$D$1,0))</f>
        <v>1. VORSTEUER AUS EMPFANGENEN LIEFERUNGEN IM INLAND 
ZUM STEUERSAZ VON 5%</v>
      </c>
      <c r="C45" s="26">
        <f>+'U-RA'!H230</f>
        <v>0</v>
      </c>
      <c r="D45" s="57">
        <f>+'U-RA'!N230</f>
        <v>0</v>
      </c>
      <c r="H45" s="35">
        <f>+D30-D46-D47</f>
        <v>3213.2361499999993</v>
      </c>
    </row>
    <row r="46" spans="2:8" ht="18" customHeight="1" x14ac:dyDescent="0.2">
      <c r="B46" s="8" t="str">
        <f>INDEX(PRIJEVODI!B:D,MATCH("PDV-041",PRIJEVODI!A:A,0),MATCH(NASLOV!$B$2,PRIJEVODI!$B$1:$D$1,0))</f>
        <v>2. VORSTEUER AUS EMPFANGENEN LIEFERUNGEN IM INLAND 
ZUM STEUERSATZ VON 13%</v>
      </c>
      <c r="C46" s="56">
        <f>+'U-RA'!I230</f>
        <v>1788.8799999999985</v>
      </c>
      <c r="D46" s="56">
        <f>+C46*0.13</f>
        <v>232.55439999999982</v>
      </c>
    </row>
    <row r="47" spans="2:8" ht="18" customHeight="1" x14ac:dyDescent="0.2">
      <c r="B47" s="8" t="str">
        <f>INDEX(PRIJEVODI!B:D,MATCH("PDV-042",PRIJEVODI!A:A,0),MATCH(NASLOV!$B$2,PRIJEVODI!$B$1:$D$1,0))</f>
        <v>3. VORSTEUER AUS EMPFANGENEN LIEFERUNGEN IM INLAND 
ZUM STEUERSAT*Z VON 25%</v>
      </c>
      <c r="C47" s="56">
        <f>+'U-RA'!J230</f>
        <v>7319.6289999999999</v>
      </c>
      <c r="D47" s="56">
        <f>+C47*0.25+0.01</f>
        <v>1829.91725</v>
      </c>
    </row>
    <row r="48" spans="2:8" ht="41.25" customHeight="1" x14ac:dyDescent="0.2">
      <c r="B48" s="7" t="str">
        <f>INDEX(PRIJEVODI!B:D,MATCH("PDV-043",PRIJEVODI!A:A,0),MATCH(NASLOV!$B$2,PRIJEVODI!$B$1:$D$1,0))</f>
        <v xml:space="preserve">4. VORSTEUER AUS EMPFANGENEN LIEFERUNGEN IN KROATIEN BEI DENEN DIE MEHRWERTSTEUER VOM EMFÄNGER ABGERECHENT WIRD / INLÄNDISCHER ÜBERGANG DER STEUERSCHULD  </v>
      </c>
      <c r="C48" s="26">
        <v>0</v>
      </c>
      <c r="D48" s="56">
        <v>0</v>
      </c>
    </row>
    <row r="49" spans="2:6" ht="25.5" x14ac:dyDescent="0.2">
      <c r="B49" s="7" t="str">
        <f>INDEX(PRIJEVODI!B:D,MATCH("PDV-044",PRIJEVODI!A:A,0),MATCH(NASLOV!$B$2,PRIJEVODI!$B$1:$D$1,0))</f>
        <v>5. VORSTEUER AUS DEM ERWERB VON GÜTERN INNERHALB DER EU 
ZUM STEUERSATZ VON 5%</v>
      </c>
      <c r="C49" s="26">
        <v>0</v>
      </c>
      <c r="D49" s="56">
        <v>0</v>
      </c>
    </row>
    <row r="50" spans="2:6" ht="25.5" x14ac:dyDescent="0.2">
      <c r="B50" s="7" t="str">
        <f>INDEX(PRIJEVODI!B:D,MATCH("PDV-045",PRIJEVODI!A:A,0),MATCH(NASLOV!$B$2,PRIJEVODI!$B$1:$D$1,0))</f>
        <v>6. VORSTEUER AUS DEM ERWERB VON GÜTERN INNERHALB DER EU ZUM STEUERSATZ VON 13%</v>
      </c>
      <c r="C50" s="26">
        <v>0</v>
      </c>
      <c r="D50" s="56">
        <v>0</v>
      </c>
      <c r="E50" s="29"/>
    </row>
    <row r="51" spans="2:6" ht="25.5" x14ac:dyDescent="0.2">
      <c r="B51" s="7" t="str">
        <f>INDEX(PRIJEVODI!B:D,MATCH("PDV-046",PRIJEVODI!A:A,0),MATCH(NASLOV!$B$2,PRIJEVODI!$B$1:$D$1,0))</f>
        <v>7. VORSTEUER AUS DEM ERWERB VON GÜTERN INNERHALB DER EU 
ZUM STEUERSATZ VON 25%</v>
      </c>
      <c r="C51" s="26">
        <v>0</v>
      </c>
      <c r="D51" s="56">
        <v>0</v>
      </c>
      <c r="E51" s="29"/>
    </row>
    <row r="52" spans="2:6" ht="25.5" x14ac:dyDescent="0.2">
      <c r="B52" s="7" t="str">
        <f>INDEX(PRIJEVODI!B:D,MATCH("PDV-047",PRIJEVODI!A:A,0),MATCH(NASLOV!$B$2,PRIJEVODI!$B$1:$D$1,0))</f>
        <v>8. VORSTEUER AUS DEM EMPFANG VON DIENSTLEISTUNGEN AUS DER EU 
ZUM STEUERSATZ VON 5%</v>
      </c>
      <c r="C52" s="26">
        <v>0</v>
      </c>
      <c r="D52" s="56">
        <v>0</v>
      </c>
    </row>
    <row r="53" spans="2:6" ht="25.5" x14ac:dyDescent="0.2">
      <c r="B53" s="7" t="str">
        <f>INDEX(PRIJEVODI!B:D,MATCH("PDV-048",PRIJEVODI!A:A,0),MATCH(NASLOV!$B$2,PRIJEVODI!$B$1:$D$1,0))</f>
        <v>9. VORSTEUER AUS DEM EMPFANG VON DIENSTLEISTUNGEN AUS DER EU 
ZUM STEUERSATZ VON 13%</v>
      </c>
      <c r="C53" s="26">
        <v>0</v>
      </c>
      <c r="D53" s="56">
        <v>0</v>
      </c>
    </row>
    <row r="54" spans="2:6" ht="25.5" x14ac:dyDescent="0.2">
      <c r="B54" s="7" t="str">
        <f>INDEX(PRIJEVODI!B:D,MATCH("PDV-049",PRIJEVODI!A:A,0),MATCH(NASLOV!$B$2,PRIJEVODI!$B$1:$D$1,0))</f>
        <v>10. VORSTEUER AUS DEM EMPFANG VON DIENSTLEISTUNGEN AUS DER EU 
ZUM STEUERSATZ VON 25%</v>
      </c>
      <c r="C54" s="26" t="e">
        <f>+'IC Aq'!#REF!+'IC Aq'!J29</f>
        <v>#REF!</v>
      </c>
      <c r="D54" s="56" t="e">
        <f>+'IC Aq'!#REF!+'IC Aq'!R29</f>
        <v>#REF!</v>
      </c>
    </row>
    <row r="55" spans="2:6" ht="37.5" customHeight="1" x14ac:dyDescent="0.2">
      <c r="B55" s="7" t="str">
        <f>INDEX(PRIJEVODI!B:D,MATCH("PDV-050",PRIJEVODI!A:A,0),MATCH(NASLOV!$B$2,PRIJEVODI!$B$1:$D$1,0))</f>
        <v>11. VORSTEUER AUS EMPFANGENEN LIEFERUNGEN VON GÜTERN UND DIENSTLEISTUNGEN VON STEUERPFLICHTIGEN OHNE SITZ IN KROATIEN 
ZUM STEUERSATZ VON 5%</v>
      </c>
      <c r="C55" s="26">
        <v>0</v>
      </c>
      <c r="D55" s="56">
        <v>0</v>
      </c>
    </row>
    <row r="56" spans="2:6" ht="37.5" customHeight="1" x14ac:dyDescent="0.2">
      <c r="B56" s="7" t="str">
        <f>INDEX(PRIJEVODI!B:D,MATCH("PDV-051",PRIJEVODI!A:A,0),MATCH(NASLOV!$B$2,PRIJEVODI!$B$1:$D$1,0))</f>
        <v>12. VORSTEUER AUS EMPFANGENEN LIEFERUNGEN VON GÜTERN UND DIENSTLEISTUNGEN VON STEUERPFLICHTIGEN OHNE SITZ IN KROATIEN 
ZUM STEUERSATZ VON 13%</v>
      </c>
      <c r="C56" s="26">
        <v>0</v>
      </c>
      <c r="D56" s="56">
        <v>0</v>
      </c>
    </row>
    <row r="57" spans="2:6" ht="37.5" customHeight="1" x14ac:dyDescent="0.2">
      <c r="B57" s="7" t="str">
        <f>INDEX(PRIJEVODI!B:D,MATCH("PDV-052",PRIJEVODI!A:A,0),MATCH(NASLOV!$B$2,PRIJEVODI!$B$1:$D$1,0))</f>
        <v>13. VORSTEUER AUS EMPFANGENEN LIEFERUNGEN VON GÜTERN UND DIENSTLEISTUNGEN VON STEUERPFLICHTIGEN OHNE SITZ IN KROATIEN
 ZUM STEUERSATZ VON 25%</v>
      </c>
      <c r="C57" s="26">
        <v>0</v>
      </c>
      <c r="D57" s="56">
        <v>0</v>
      </c>
    </row>
    <row r="58" spans="2:6" x14ac:dyDescent="0.2">
      <c r="B58" s="7" t="str">
        <f>INDEX(PRIJEVODI!B:D,MATCH("PDV-053",PRIJEVODI!A:A,0),MATCH(NASLOV!$B$2,PRIJEVODI!$B$1:$D$1,0))</f>
        <v>14. VORSTEUER BEI DER EINFUHR</v>
      </c>
      <c r="C58" s="26">
        <v>0</v>
      </c>
      <c r="D58" s="56">
        <v>0</v>
      </c>
    </row>
    <row r="59" spans="2:6" ht="13.5" thickBot="1" x14ac:dyDescent="0.25">
      <c r="B59" s="10" t="str">
        <f>INDEX(PRIJEVODI!B:D,MATCH("PDV-054",PRIJEVODI!A:A,0),MATCH(NASLOV!$B$2,PRIJEVODI!$B$1:$D$1,0))</f>
        <v>15. BERICHTIGUNG VORSTEUER</v>
      </c>
      <c r="C59" s="26">
        <v>0</v>
      </c>
      <c r="D59" s="56">
        <v>0</v>
      </c>
    </row>
    <row r="60" spans="2:6" ht="26.25" customHeight="1" x14ac:dyDescent="0.2">
      <c r="B60" s="17" t="str">
        <f>INDEX(PRIJEVODI!B:D,MATCH("PDV-055",PRIJEVODI!A:A,0),MATCH(NASLOV!$B$2,PRIJEVODI!$B$1:$D$1,0))</f>
        <v xml:space="preserve">IV. VERBINDLICHKEIT FÜR DEN STEUERZEITRAUM: FÜR DIE EINZAHLUNG (II.-III.) ODER ZUR RÜCKERSTATTUNG (III.-II.) DER UMSATZSTEUER IM ABRECHNUNGSZEITRAUM             </v>
      </c>
      <c r="C60" s="18"/>
      <c r="D60" s="58" t="e">
        <f>D28-D44</f>
        <v>#REF!</v>
      </c>
    </row>
    <row r="61" spans="2:6" ht="38.25" customHeight="1" x14ac:dyDescent="0.2">
      <c r="B61" s="15" t="str">
        <f>INDEX(PRIJEVODI!B:D,MATCH("PDV-056",PRIJEVODI!A:A,0),MATCH(NASLOV!$B$2,PRIJEVODI!$B$1:$D$1,0))</f>
        <v xml:space="preserve">V. NICHT EINGEZAHLTE UMSATZSTEUER BIS ZUR ABGABE DER ANMELDUNG - MEHR EINGEZAHLT - STEUERKREDIT     </v>
      </c>
      <c r="C61" s="5"/>
      <c r="D61" s="35">
        <v>-3970.81</v>
      </c>
    </row>
    <row r="62" spans="2:6" x14ac:dyDescent="0.2">
      <c r="B62" s="20" t="str">
        <f>INDEX(PRIJEVODI!B:D,MATCH("PDV-057",PRIJEVODI!A:A,0),MATCH(NASLOV!$B$2,PRIJEVODI!$B$1:$D$1,0))</f>
        <v xml:space="preserve">VI. INSGESAMT DIFFERENZ: FÜR EINZAHLUNG / FÜR RÜCKERSTATTUNG </v>
      </c>
      <c r="C62" s="5"/>
      <c r="D62" s="57" t="e">
        <f>+D60+D61</f>
        <v>#REF!</v>
      </c>
    </row>
    <row r="63" spans="2:6" ht="25.5" customHeight="1" thickBot="1" x14ac:dyDescent="0.25">
      <c r="B63" s="21" t="str">
        <f>INDEX(PRIJEVODI!B:D,MATCH("PDV-058",PRIJEVODI!A:A,0),MATCH(NASLOV!$B$2,PRIJEVODI!$B$1:$D$1,0))</f>
        <v>VII. JÄHRLICHER PROPORTIONALER VORSTEUERERSTATTUNGSBETRA (%)</v>
      </c>
      <c r="C63" s="13"/>
      <c r="D63" s="59"/>
      <c r="F63" s="32"/>
    </row>
    <row r="64" spans="2:6" ht="64.5" customHeight="1" x14ac:dyDescent="0.2">
      <c r="E64" s="31"/>
      <c r="F64" s="32"/>
    </row>
    <row r="65" spans="1:6" x14ac:dyDescent="0.2">
      <c r="F65" s="32"/>
    </row>
    <row r="66" spans="1:6" x14ac:dyDescent="0.2">
      <c r="F66" s="32"/>
    </row>
    <row r="68" spans="1:6" x14ac:dyDescent="0.2">
      <c r="B68" s="50" t="s">
        <v>567</v>
      </c>
      <c r="C68" s="63">
        <v>0</v>
      </c>
      <c r="D68" s="50" t="s">
        <v>567</v>
      </c>
    </row>
    <row r="69" spans="1:6" x14ac:dyDescent="0.2">
      <c r="B69" s="1" t="s">
        <v>69</v>
      </c>
      <c r="C69" s="1" t="s">
        <v>70</v>
      </c>
      <c r="D69" s="1" t="s">
        <v>71</v>
      </c>
    </row>
    <row r="72" spans="1:6" x14ac:dyDescent="0.2">
      <c r="A72" s="332" t="s">
        <v>460</v>
      </c>
      <c r="B72" s="332"/>
      <c r="D72" s="5" t="s">
        <v>573</v>
      </c>
      <c r="E72" s="2"/>
    </row>
    <row r="73" spans="1:6" ht="63.75" x14ac:dyDescent="0.2">
      <c r="A73" s="62" t="s">
        <v>572</v>
      </c>
      <c r="B73" s="3"/>
      <c r="D73" s="61" t="s">
        <v>574</v>
      </c>
      <c r="E73" s="60"/>
    </row>
  </sheetData>
  <mergeCells count="10">
    <mergeCell ref="A72:B72"/>
    <mergeCell ref="B11:B13"/>
    <mergeCell ref="C11:C13"/>
    <mergeCell ref="D10:D14"/>
    <mergeCell ref="B5:B7"/>
    <mergeCell ref="B8:B10"/>
    <mergeCell ref="D5:D7"/>
    <mergeCell ref="C5:C7"/>
    <mergeCell ref="C8:C10"/>
    <mergeCell ref="D8:D9"/>
  </mergeCells>
  <pageMargins left="0.70866141732283472" right="0.70866141732283472" top="0.74803149606299213" bottom="0.74803149606299213" header="0.31496062992125984" footer="0.31496062992125984"/>
  <pageSetup paperSize="9" scale="51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8"/>
  <sheetViews>
    <sheetView topLeftCell="B1" zoomScale="70" zoomScaleNormal="70" workbookViewId="0">
      <selection activeCell="B46" sqref="B46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10.125" bestFit="1" customWidth="1"/>
    <col min="11" max="11" width="10.125" customWidth="1"/>
    <col min="12" max="12" width="33.625" customWidth="1"/>
    <col min="13" max="13" width="23" customWidth="1"/>
    <col min="14" max="19" width="10" customWidth="1"/>
  </cols>
  <sheetData>
    <row r="1" spans="1:18" x14ac:dyDescent="0.2">
      <c r="A1" s="281" t="str">
        <f>NASLOV!B5</f>
        <v>Markus Renz</v>
      </c>
      <c r="B1" s="281"/>
      <c r="C1" s="281"/>
      <c r="D1" s="281"/>
      <c r="E1" s="281"/>
      <c r="F1" s="281"/>
    </row>
    <row r="2" spans="1:18" x14ac:dyDescent="0.2">
      <c r="A2" s="281"/>
      <c r="B2" s="281"/>
      <c r="C2" s="281"/>
      <c r="D2" s="281"/>
      <c r="E2" s="281"/>
      <c r="F2" s="281"/>
    </row>
    <row r="3" spans="1:18" x14ac:dyDescent="0.2">
      <c r="C3" s="259" t="str">
        <f>INDEX(PRIJEVODI!B:D,MATCH("URA75-001",PRIJEVODI!A:A,0),MATCH(NASLOV!$B$2,PRIJEVODI!$B$1:$D$1,0))</f>
        <v>STEUERPFLICHTIGER: NAME / NACHNAME</v>
      </c>
      <c r="D3" s="259"/>
      <c r="E3" s="259"/>
      <c r="F3" s="259"/>
      <c r="Q3" s="267"/>
      <c r="R3" s="267"/>
    </row>
    <row r="4" spans="1:18" x14ac:dyDescent="0.2">
      <c r="C4" s="280" t="str">
        <f>NASLOV!B7</f>
        <v>Am Sonnblick 6, Lichtenau</v>
      </c>
      <c r="D4" s="280"/>
      <c r="E4" s="280"/>
      <c r="F4" s="280"/>
    </row>
    <row r="5" spans="1:18" x14ac:dyDescent="0.2">
      <c r="C5" s="280"/>
      <c r="D5" s="280"/>
      <c r="E5" s="280"/>
      <c r="F5" s="280"/>
    </row>
    <row r="6" spans="1:18" x14ac:dyDescent="0.2">
      <c r="C6" s="259" t="str">
        <f>INDEX(PRIJEVODI!B:D,MATCH("URA75-002",PRIJEVODI!A:A,0),MATCH(NASLOV!$B$2,PRIJEVODI!$B$1:$D$1,0))</f>
        <v>ADRESSE: ORT, STRASSE UND HAUSNUMMER</v>
      </c>
      <c r="D6" s="259"/>
      <c r="E6" s="259"/>
      <c r="F6" s="259"/>
    </row>
    <row r="7" spans="1:18" x14ac:dyDescent="0.2">
      <c r="C7" s="282"/>
      <c r="D7" s="282"/>
      <c r="E7" s="282"/>
      <c r="F7" s="282"/>
    </row>
    <row r="8" spans="1:18" x14ac:dyDescent="0.2">
      <c r="C8" s="282"/>
      <c r="D8" s="282"/>
      <c r="E8" s="282"/>
      <c r="F8" s="282"/>
    </row>
    <row r="9" spans="1:18" x14ac:dyDescent="0.2">
      <c r="C9" s="259" t="str">
        <f>INDEX(PRIJEVODI!B:D,MATCH("URA75-003",PRIJEVODI!A:A,0),MATCH(NASLOV!$B$2,PRIJEVODI!$B$1:$D$1,0))</f>
        <v xml:space="preserve">NUMMERIERUNG GEMÄSS DEM NATIONALEN KLASSIFIZIERUNGSSYSTEM  </v>
      </c>
      <c r="D9" s="259"/>
      <c r="E9" s="259"/>
      <c r="F9" s="259"/>
    </row>
    <row r="10" spans="1:18" x14ac:dyDescent="0.2">
      <c r="C10" s="259"/>
      <c r="D10" s="259"/>
      <c r="E10" s="259"/>
      <c r="F10" s="259"/>
    </row>
    <row r="11" spans="1:18" x14ac:dyDescent="0.2">
      <c r="C11" s="280" t="str">
        <f>NASLOV!B9</f>
        <v>HR6411581446</v>
      </c>
      <c r="D11" s="280"/>
      <c r="E11" s="280"/>
      <c r="F11" s="280"/>
    </row>
    <row r="12" spans="1:18" x14ac:dyDescent="0.2">
      <c r="C12" s="280"/>
      <c r="D12" s="280"/>
      <c r="E12" s="280"/>
      <c r="F12" s="280"/>
    </row>
    <row r="13" spans="1:18" x14ac:dyDescent="0.2">
      <c r="C13" s="259" t="str">
        <f>INDEX(PRIJEVODI!B:D,MATCH("URA75-004",PRIJEVODI!A:A,0),MATCH(NASLOV!$B$2,PRIJEVODI!$B$1:$D$1,0))</f>
        <v>STEUERNUMMER (UID)</v>
      </c>
      <c r="D13" s="259"/>
      <c r="E13" s="259"/>
      <c r="F13" s="259"/>
    </row>
    <row r="15" spans="1:18" x14ac:dyDescent="0.2">
      <c r="G15" s="306" t="str">
        <f>INDEX(PRIJEVODI!B:D,MATCH("URA75-005",PRIJEVODI!A:A,0),MATCH(NASLOV!$B$2,PRIJEVODI!$B$1:$D$1,0))</f>
        <v>EINGANGSRECHNUNGBUCH - Art 75(2)</v>
      </c>
      <c r="H15" s="267"/>
      <c r="I15" s="267"/>
      <c r="J15" s="267"/>
      <c r="K15" s="267"/>
      <c r="L15" s="1"/>
    </row>
    <row r="16" spans="1:18" x14ac:dyDescent="0.2">
      <c r="G16" s="267"/>
      <c r="H16" s="267"/>
      <c r="I16" s="267"/>
      <c r="J16" s="267"/>
      <c r="K16" s="267"/>
      <c r="L16" s="1"/>
      <c r="O16" s="267" t="str">
        <f>INDEX(PRIJEVODI!B:D,MATCH("URA75-006",PRIJEVODI!A:A,0),MATCH(NASLOV!$B$2,PRIJEVODI!$B$1:$D$1,0))</f>
        <v>BETRAG IN KUNA UND LIPA</v>
      </c>
      <c r="P16" s="267"/>
      <c r="Q16" s="267"/>
      <c r="R16" s="267"/>
    </row>
    <row r="19" spans="2:19" ht="12.75" customHeight="1" x14ac:dyDescent="0.2">
      <c r="B19" s="283" t="str">
        <f>INDEX(PRIJEVODI!B:D,MATCH("URA75-007",PRIJEVODI!A:A,0),MATCH(NASLOV!$B$2,PRIJEVODI!$B$1:$D$1,0))</f>
        <v xml:space="preserve">ORDNUNGSNUMMER </v>
      </c>
      <c r="C19" s="271" t="str">
        <f>INDEX(PRIJEVODI!B:D,MATCH("URA75-008",PRIJEVODI!A:A,0),MATCH(NASLOV!$B$2,PRIJEVODI!$B$1:$D$1,0))</f>
        <v>RECHNUNG</v>
      </c>
      <c r="D19" s="286"/>
      <c r="E19" s="331" t="str">
        <f>INDEX(PRIJEVODI!B:D,MATCH("URA75-011",PRIJEVODI!A:A,0),MATCH(NASLOV!$B$2,PRIJEVODI!$B$1:$D$1,0))</f>
        <v>LIEFERANT (ANBIETER VON WAREN UND DIENSTLEISTUNGEN)</v>
      </c>
      <c r="F19" s="322"/>
      <c r="G19" s="322"/>
      <c r="H19" s="322"/>
      <c r="I19" s="322"/>
      <c r="J19" s="322"/>
      <c r="K19" s="322"/>
      <c r="L19" s="322"/>
      <c r="M19" s="323"/>
      <c r="N19" s="271" t="str">
        <f>INDEX(PRIJEVODI!B:D,MATCH("URA75-020",PRIJEVODI!A:A,0),MATCH(NASLOV!$B$2,PRIJEVODI!$B$1:$D$1,0))</f>
        <v>STEUER</v>
      </c>
      <c r="O19" s="272"/>
      <c r="P19" s="272"/>
      <c r="Q19" s="272"/>
      <c r="R19" s="272"/>
      <c r="S19" s="278"/>
    </row>
    <row r="20" spans="2:19" x14ac:dyDescent="0.2">
      <c r="B20" s="284"/>
      <c r="C20" s="287"/>
      <c r="D20" s="288"/>
      <c r="E20" s="265"/>
      <c r="F20" s="326"/>
      <c r="G20" s="326"/>
      <c r="H20" s="326"/>
      <c r="I20" s="326"/>
      <c r="J20" s="326"/>
      <c r="K20" s="326"/>
      <c r="L20" s="326"/>
      <c r="M20" s="327"/>
      <c r="N20" s="274"/>
      <c r="O20" s="275"/>
      <c r="P20" s="275"/>
      <c r="Q20" s="275"/>
      <c r="R20" s="275"/>
      <c r="S20" s="276"/>
    </row>
    <row r="21" spans="2:19" ht="12.75" customHeight="1" x14ac:dyDescent="0.2">
      <c r="B21" s="284"/>
      <c r="C21" s="260" t="str">
        <f>INDEX(PRIJEVODI!B:D,MATCH("URA75-009",PRIJEVODI!A:A,0),MATCH(NASLOV!$B$2,PRIJEVODI!$B$1:$D$1,0))</f>
        <v xml:space="preserve">NUMMER </v>
      </c>
      <c r="D21" s="260" t="str">
        <f>INDEX(PRIJEVODI!B:D,MATCH("URA75-010",PRIJEVODI!A:A,0),MATCH(NASLOV!$B$2,PRIJEVODI!$B$1:$D$1,0))</f>
        <v>DATUM</v>
      </c>
      <c r="E21" s="295" t="str">
        <f>INDEX(PRIJEVODI!B:D,MATCH("URA75-012",PRIJEVODI!A:A,0),MATCH(NASLOV!$B$2,PRIJEVODI!$B$1:$D$1,0))</f>
        <v>TITEL - NAME UND NACHNAME, GESCHÄFTSSITZ / SITZORT</v>
      </c>
      <c r="F21" s="296"/>
      <c r="G21" s="301" t="str">
        <f>INDEX(PRIJEVODI!B:D,MATCH("URA75-013",PRIJEVODI!A:A,0),MATCH(NASLOV!$B$2,PRIJEVODI!$B$1:$D$1,0))</f>
        <v>STEUERNUMMER (UID)</v>
      </c>
      <c r="H21" s="263" t="str">
        <f>INDEX(PRIJEVODI!B:D,MATCH("URA75-014",PRIJEVODI!A:A,0),MATCH(NASLOV!$B$2,PRIJEVODI!$B$1:$D$1,0))</f>
        <v>LIEFERWERT</v>
      </c>
      <c r="I21" s="322"/>
      <c r="J21" s="323"/>
      <c r="K21" s="301" t="str">
        <f>INDEX(PRIJEVODI!B:D,MATCH("URA75-018",PRIJEVODI!A:A,0),MATCH(NASLOV!$B$2,PRIJEVODI!$B$1:$D$1,0))</f>
        <v>GESAMTBETRAG DER RECHNUNG INKLUSIVE MwST.</v>
      </c>
      <c r="L21" s="45"/>
      <c r="M21" s="260" t="str">
        <f>INDEX(PRIJEVODI!B:D,MATCH("URA75-030",PRIJEVODI!A:A,0),MATCH(NASLOV!$B$2,PRIJEVODI!$B$1:$D$1,0))</f>
        <v>TOTAL</v>
      </c>
      <c r="N21" s="277">
        <v>0.05</v>
      </c>
      <c r="O21" s="278"/>
      <c r="P21" s="277">
        <v>0.13</v>
      </c>
      <c r="Q21" s="278"/>
      <c r="R21" s="277">
        <v>0.25</v>
      </c>
      <c r="S21" s="278"/>
    </row>
    <row r="22" spans="2:19" x14ac:dyDescent="0.2">
      <c r="B22" s="284"/>
      <c r="C22" s="261"/>
      <c r="D22" s="261"/>
      <c r="E22" s="297"/>
      <c r="F22" s="298"/>
      <c r="G22" s="302"/>
      <c r="H22" s="264"/>
      <c r="I22" s="324"/>
      <c r="J22" s="325"/>
      <c r="K22" s="302"/>
      <c r="L22" s="46"/>
      <c r="M22" s="261"/>
      <c r="N22" s="274"/>
      <c r="O22" s="276"/>
      <c r="P22" s="274"/>
      <c r="Q22" s="276"/>
      <c r="R22" s="274"/>
      <c r="S22" s="276"/>
    </row>
    <row r="23" spans="2:19" x14ac:dyDescent="0.2">
      <c r="B23" s="284"/>
      <c r="C23" s="261"/>
      <c r="D23" s="261"/>
      <c r="E23" s="297"/>
      <c r="F23" s="298"/>
      <c r="G23" s="302"/>
      <c r="H23" s="264"/>
      <c r="I23" s="324"/>
      <c r="J23" s="325"/>
      <c r="K23" s="302"/>
      <c r="L23" s="46"/>
      <c r="M23" s="261"/>
      <c r="N23" s="301" t="str">
        <f>INDEX(PRIJEVODI!B:D,MATCH("URA75-022",PRIJEVODI!A:A,0),MATCH(NASLOV!$B$2,PRIJEVODI!$B$1:$D$1,0))</f>
        <v>ABZUGSFÄHIG</v>
      </c>
      <c r="O23" s="301" t="str">
        <f>INDEX(PRIJEVODI!B:D,MATCH("URA75-023",PRIJEVODI!A:A,0),MATCH(NASLOV!$B$2,PRIJEVODI!$B$1:$D$1,0))</f>
        <v>NICHT ABZUGSFÄHIG</v>
      </c>
      <c r="P23" s="301" t="str">
        <f>INDEX(PRIJEVODI!B:D,MATCH("URA75-025",PRIJEVODI!A:A,0),MATCH(NASLOV!$B$2,PRIJEVODI!$B$1:$D$1,0))</f>
        <v>ABZUGSFÄHIG</v>
      </c>
      <c r="Q23" s="301" t="str">
        <f>INDEX(PRIJEVODI!B:D,MATCH("URA75-026",PRIJEVODI!A:A,0),MATCH(NASLOV!$B$2,PRIJEVODI!$B$1:$D$1,0))</f>
        <v>NICHT ABZUGSFÄHIG</v>
      </c>
      <c r="R23" s="301" t="str">
        <f>INDEX(PRIJEVODI!B:D,MATCH("URA75-028",PRIJEVODI!A:A,0),MATCH(NASLOV!$B$2,PRIJEVODI!$B$1:$D$1,0))</f>
        <v>ABZUGSFÄHIG</v>
      </c>
      <c r="S23" s="301" t="str">
        <f>INDEX(PRIJEVODI!B:D,MATCH("URA75-029",PRIJEVODI!A:A,0),MATCH(NASLOV!$B$2,PRIJEVODI!$B$1:$D$1,0))</f>
        <v>NICHT ABZUGSFÄHIG</v>
      </c>
    </row>
    <row r="24" spans="2:19" x14ac:dyDescent="0.2">
      <c r="B24" s="284"/>
      <c r="C24" s="261"/>
      <c r="D24" s="261"/>
      <c r="E24" s="297"/>
      <c r="F24" s="298"/>
      <c r="G24" s="302"/>
      <c r="H24" s="264"/>
      <c r="I24" s="324"/>
      <c r="J24" s="325"/>
      <c r="K24" s="302"/>
      <c r="L24" s="48" t="str">
        <f>INDEX(PRIJEVODI!B:D,MATCH("URA75-019",PRIJEVODI!A:A,0),MATCH(NASLOV!$B$2,PRIJEVODI!$B$1:$D$1,0))</f>
        <v>STEUERBEFREIUNGEN / ABZUGSFÄHIG</v>
      </c>
      <c r="M24" s="261"/>
      <c r="N24" s="302"/>
      <c r="O24" s="302"/>
      <c r="P24" s="302"/>
      <c r="Q24" s="302"/>
      <c r="R24" s="302"/>
      <c r="S24" s="302"/>
    </row>
    <row r="25" spans="2:19" x14ac:dyDescent="0.2">
      <c r="B25" s="284"/>
      <c r="C25" s="261"/>
      <c r="D25" s="261"/>
      <c r="E25" s="297"/>
      <c r="F25" s="298"/>
      <c r="G25" s="302"/>
      <c r="H25" s="265"/>
      <c r="I25" s="326"/>
      <c r="J25" s="327"/>
      <c r="K25" s="302"/>
      <c r="L25" s="46"/>
      <c r="M25" s="261"/>
      <c r="N25" s="302"/>
      <c r="O25" s="302"/>
      <c r="P25" s="302"/>
      <c r="Q25" s="302"/>
      <c r="R25" s="302"/>
      <c r="S25" s="302"/>
    </row>
    <row r="26" spans="2:19" x14ac:dyDescent="0.2">
      <c r="B26" s="284"/>
      <c r="C26" s="261"/>
      <c r="D26" s="261"/>
      <c r="E26" s="297"/>
      <c r="F26" s="298"/>
      <c r="G26" s="302"/>
      <c r="H26" s="330">
        <v>0.05</v>
      </c>
      <c r="I26" s="330">
        <v>0.1</v>
      </c>
      <c r="J26" s="330">
        <v>0.25</v>
      </c>
      <c r="K26" s="302"/>
      <c r="L26" s="46"/>
      <c r="M26" s="261"/>
      <c r="N26" s="302"/>
      <c r="O26" s="302"/>
      <c r="P26" s="302"/>
      <c r="Q26" s="302"/>
      <c r="R26" s="302"/>
      <c r="S26" s="302"/>
    </row>
    <row r="27" spans="2:19" x14ac:dyDescent="0.2">
      <c r="B27" s="285"/>
      <c r="C27" s="262"/>
      <c r="D27" s="262"/>
      <c r="E27" s="299"/>
      <c r="F27" s="300"/>
      <c r="G27" s="303"/>
      <c r="H27" s="262"/>
      <c r="I27" s="262"/>
      <c r="J27" s="262"/>
      <c r="K27" s="303"/>
      <c r="L27" s="47"/>
      <c r="M27" s="262"/>
      <c r="N27" s="303"/>
      <c r="O27" s="303"/>
      <c r="P27" s="303"/>
      <c r="Q27" s="303"/>
      <c r="R27" s="303"/>
      <c r="S27" s="303"/>
    </row>
    <row r="28" spans="2:19" x14ac:dyDescent="0.2">
      <c r="B28" s="33">
        <v>1</v>
      </c>
      <c r="C28" s="33">
        <v>2</v>
      </c>
      <c r="D28" s="33">
        <v>3</v>
      </c>
      <c r="E28" s="263">
        <v>4</v>
      </c>
      <c r="F28" s="323"/>
      <c r="G28" s="33">
        <v>5</v>
      </c>
      <c r="H28" s="33">
        <v>6</v>
      </c>
      <c r="I28" s="33">
        <v>7</v>
      </c>
      <c r="J28" s="33">
        <v>8</v>
      </c>
      <c r="K28" s="33">
        <v>9</v>
      </c>
      <c r="L28" s="33"/>
      <c r="M28" s="3" t="s">
        <v>0</v>
      </c>
      <c r="N28" s="3">
        <v>11</v>
      </c>
      <c r="O28" s="4">
        <v>12</v>
      </c>
      <c r="P28" s="3">
        <v>13</v>
      </c>
      <c r="Q28" s="4">
        <v>14</v>
      </c>
      <c r="R28" s="3">
        <v>15</v>
      </c>
      <c r="S28" s="4">
        <v>16</v>
      </c>
    </row>
    <row r="29" spans="2:19" x14ac:dyDescent="0.2">
      <c r="B29" s="2"/>
      <c r="C29" s="2"/>
      <c r="D29" s="37"/>
      <c r="E29" s="2"/>
      <c r="F29" s="2"/>
      <c r="G29" s="2"/>
      <c r="H29" s="2"/>
      <c r="I29" s="2"/>
      <c r="J29" s="30"/>
      <c r="K29" s="34"/>
      <c r="L29" s="34"/>
      <c r="M29" s="2"/>
      <c r="N29" s="2"/>
      <c r="O29" s="2"/>
      <c r="P29" s="2"/>
      <c r="Q29" s="2"/>
      <c r="R29" s="34"/>
      <c r="S29" s="2"/>
    </row>
    <row r="30" spans="2:19" x14ac:dyDescent="0.2">
      <c r="B30" s="2"/>
      <c r="C30" s="2"/>
      <c r="D30" s="37"/>
      <c r="E30" s="2"/>
      <c r="F30" s="2"/>
      <c r="G30" s="2"/>
      <c r="H30" s="2"/>
      <c r="I30" s="2"/>
      <c r="J30" s="30"/>
      <c r="K30" s="34"/>
      <c r="L30" s="34"/>
      <c r="M30" s="2"/>
      <c r="N30" s="2"/>
      <c r="O30" s="2"/>
      <c r="P30" s="2"/>
      <c r="Q30" s="2"/>
      <c r="R30" s="34"/>
      <c r="S30" s="2"/>
    </row>
    <row r="31" spans="2:19" x14ac:dyDescent="0.2">
      <c r="B31" s="2"/>
      <c r="C31" s="2"/>
      <c r="D31" s="37"/>
      <c r="E31" s="2"/>
      <c r="F31" s="2"/>
      <c r="G31" s="2"/>
      <c r="H31" s="2"/>
      <c r="I31" s="2"/>
      <c r="J31" s="30"/>
      <c r="K31" s="34"/>
      <c r="L31" s="34"/>
      <c r="M31" s="2"/>
      <c r="N31" s="2"/>
      <c r="O31" s="2"/>
      <c r="P31" s="2"/>
      <c r="Q31" s="2"/>
      <c r="R31" s="34"/>
      <c r="S31" s="2"/>
    </row>
    <row r="32" spans="2:19" x14ac:dyDescent="0.2">
      <c r="B32" s="2"/>
      <c r="C32" s="2"/>
      <c r="D32" s="37"/>
      <c r="E32" s="2"/>
      <c r="F32" s="2"/>
      <c r="G32" s="2"/>
      <c r="H32" s="2"/>
      <c r="I32" s="2"/>
      <c r="J32" s="2"/>
      <c r="K32" s="34"/>
      <c r="L32" s="34"/>
      <c r="M32" s="2"/>
      <c r="N32" s="2"/>
      <c r="O32" s="2"/>
      <c r="P32" s="2"/>
      <c r="Q32" s="2"/>
      <c r="R32" s="34"/>
      <c r="S32" s="2"/>
    </row>
    <row r="33" spans="2:19" x14ac:dyDescent="0.2">
      <c r="B33" s="2"/>
      <c r="C33" s="2"/>
      <c r="D33" s="37"/>
      <c r="E33" s="2"/>
      <c r="F33" s="2"/>
      <c r="G33" s="2"/>
      <c r="H33" s="2"/>
      <c r="I33" s="2"/>
      <c r="J33" s="30"/>
      <c r="K33" s="34"/>
      <c r="L33" s="34"/>
      <c r="M33" s="2"/>
      <c r="N33" s="2"/>
      <c r="O33" s="2"/>
      <c r="P33" s="2"/>
      <c r="Q33" s="2"/>
      <c r="R33" s="34"/>
      <c r="S33" s="2"/>
    </row>
    <row r="34" spans="2:19" x14ac:dyDescent="0.2">
      <c r="B34" s="2"/>
      <c r="C34" s="2"/>
      <c r="D34" s="37"/>
      <c r="E34" s="2"/>
      <c r="F34" s="2"/>
      <c r="G34" s="2"/>
      <c r="H34" s="2"/>
      <c r="I34" s="2"/>
      <c r="J34" s="30"/>
      <c r="K34" s="34"/>
      <c r="L34" s="34"/>
      <c r="M34" s="2"/>
      <c r="N34" s="2"/>
      <c r="O34" s="2"/>
      <c r="P34" s="2"/>
      <c r="Q34" s="2"/>
      <c r="R34" s="34"/>
      <c r="S34" s="2"/>
    </row>
    <row r="35" spans="2:19" x14ac:dyDescent="0.2">
      <c r="B35" s="2"/>
      <c r="C35" s="2"/>
      <c r="D35" s="36"/>
      <c r="E35" s="2"/>
      <c r="F35" s="2"/>
      <c r="G35" s="2"/>
      <c r="H35" s="2"/>
      <c r="I35" s="2"/>
      <c r="J35" s="30"/>
      <c r="K35" s="34"/>
      <c r="L35" s="34"/>
      <c r="M35" s="2"/>
      <c r="N35" s="2"/>
      <c r="O35" s="2"/>
      <c r="P35" s="2"/>
      <c r="Q35" s="2"/>
      <c r="R35" s="34">
        <f>+J35*0.25</f>
        <v>0</v>
      </c>
      <c r="S35" s="2"/>
    </row>
    <row r="36" spans="2:19" x14ac:dyDescent="0.2">
      <c r="B36" s="2"/>
      <c r="C36" s="2"/>
      <c r="D36" s="36"/>
      <c r="E36" s="2"/>
      <c r="F36" s="2"/>
      <c r="G36" s="2"/>
      <c r="H36" s="2"/>
      <c r="I36" s="2"/>
      <c r="J36" s="30"/>
      <c r="K36" s="34"/>
      <c r="L36" s="34"/>
      <c r="M36" s="2"/>
      <c r="N36" s="2"/>
      <c r="O36" s="2"/>
      <c r="P36" s="2"/>
      <c r="Q36" s="2"/>
      <c r="R36" s="34">
        <f>+J36*0.25</f>
        <v>0</v>
      </c>
      <c r="S36" s="2"/>
    </row>
    <row r="37" spans="2:19" x14ac:dyDescent="0.2">
      <c r="B37" s="2"/>
      <c r="C37" s="2"/>
      <c r="D37" s="37"/>
      <c r="E37" s="2"/>
      <c r="F37" s="2"/>
      <c r="G37" s="2"/>
      <c r="H37" s="2"/>
      <c r="I37" s="2"/>
      <c r="J37" s="30"/>
      <c r="K37" s="34"/>
      <c r="L37" s="34"/>
      <c r="M37" s="2"/>
      <c r="N37" s="2"/>
      <c r="O37" s="2"/>
      <c r="P37" s="2"/>
      <c r="Q37" s="2"/>
      <c r="R37" s="34">
        <f>+J37*0.25</f>
        <v>0</v>
      </c>
      <c r="S37" s="2"/>
    </row>
    <row r="38" spans="2:19" x14ac:dyDescent="0.2">
      <c r="J38" s="35">
        <f>SUM(J29:J37)</f>
        <v>0</v>
      </c>
      <c r="K38" s="35">
        <f>SUM(K29:K37)</f>
        <v>0</v>
      </c>
      <c r="L38" s="35"/>
      <c r="R38" s="35">
        <f>SUM(R29:R37)</f>
        <v>0</v>
      </c>
    </row>
  </sheetData>
  <mergeCells count="36">
    <mergeCell ref="E28:F28"/>
    <mergeCell ref="M21:M27"/>
    <mergeCell ref="Q23:Q27"/>
    <mergeCell ref="R23:R27"/>
    <mergeCell ref="S23:S27"/>
    <mergeCell ref="H26:H27"/>
    <mergeCell ref="I26:I27"/>
    <mergeCell ref="J26:J27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N21:O22"/>
    <mergeCell ref="P21:Q22"/>
    <mergeCell ref="R21:S22"/>
    <mergeCell ref="N23:N27"/>
    <mergeCell ref="O23:O27"/>
    <mergeCell ref="P23:P27"/>
    <mergeCell ref="O16:R16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  <mergeCell ref="G15:K16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78"/>
  <sheetViews>
    <sheetView topLeftCell="A10" workbookViewId="0">
      <selection activeCell="M77" sqref="M77:O78"/>
    </sheetView>
  </sheetViews>
  <sheetFormatPr baseColWidth="10" defaultColWidth="9" defaultRowHeight="12.75" x14ac:dyDescent="0.2"/>
  <cols>
    <col min="2" max="2" width="13.5" customWidth="1"/>
    <col min="12" max="12" width="11.375" customWidth="1"/>
    <col min="15" max="15" width="10" customWidth="1"/>
  </cols>
  <sheetData>
    <row r="2" spans="2:15" x14ac:dyDescent="0.2">
      <c r="M2" s="267" t="str">
        <f>INDEX(PRIJEVODI!B:D,MATCH("ZP-001",PRIJEVODI!A:A,0),MATCH(NASLOV!$B$2,PRIJEVODI!$B$1:$D$1,0))</f>
        <v>FORMULAR ZM</v>
      </c>
      <c r="N2" s="267"/>
      <c r="O2" s="267"/>
    </row>
    <row r="3" spans="2:15" x14ac:dyDescent="0.2">
      <c r="M3" s="267"/>
      <c r="N3" s="267"/>
      <c r="O3" s="267"/>
    </row>
    <row r="5" spans="2:15" x14ac:dyDescent="0.2">
      <c r="K5" s="369" t="str">
        <f>INDEX(PRIJEVODI!B:D,MATCH("ZP-004",PRIJEVODI!A:A,0),MATCH(NASLOV!$B$2,PRIJEVODI!$B$1:$D$1,0))</f>
        <v>STEUERNUMMER (UID)   (3)</v>
      </c>
      <c r="L5" s="371"/>
      <c r="M5" s="351" t="s">
        <v>1</v>
      </c>
      <c r="N5" s="362" t="str">
        <f>+NASLOV!B9</f>
        <v>HR6411581446</v>
      </c>
      <c r="O5" s="278"/>
    </row>
    <row r="6" spans="2:15" x14ac:dyDescent="0.2">
      <c r="B6" s="295" t="str">
        <f>INDEX(PRIJEVODI!B:D,MATCH("ZP-002",PRIJEVODI!A:A,0),MATCH(NASLOV!$B$2,PRIJEVODI!$B$1:$D$1,0))</f>
        <v>ZUSTÄNDIGES FINANZAMT - STEUERVERWALTUNG (1)</v>
      </c>
      <c r="C6" s="296"/>
      <c r="D6" s="375" t="s">
        <v>570</v>
      </c>
      <c r="E6" s="376"/>
      <c r="K6" s="372"/>
      <c r="L6" s="374"/>
      <c r="M6" s="353"/>
      <c r="N6" s="274"/>
      <c r="O6" s="276"/>
    </row>
    <row r="7" spans="2:15" x14ac:dyDescent="0.2">
      <c r="B7" s="297"/>
      <c r="C7" s="298"/>
      <c r="D7" s="377"/>
      <c r="E7" s="378"/>
      <c r="K7" s="295" t="str">
        <f>INDEX(PRIJEVODI!B:D,MATCH("ZP-006",PRIJEVODI!A:A,0),MATCH(NASLOV!$B$2,PRIJEVODI!$B$1:$D$1,0))</f>
        <v>STEUERPFLICHTIGER  (Titel / Name und Nachname)      (4)</v>
      </c>
      <c r="L7" s="296"/>
      <c r="M7" s="263" t="str">
        <f>NASLOV!B5</f>
        <v>Markus Renz</v>
      </c>
      <c r="N7" s="322"/>
      <c r="O7" s="323"/>
    </row>
    <row r="8" spans="2:15" x14ac:dyDescent="0.2">
      <c r="B8" s="299"/>
      <c r="C8" s="300"/>
      <c r="D8" s="379"/>
      <c r="E8" s="380"/>
      <c r="K8" s="297"/>
      <c r="L8" s="298"/>
      <c r="M8" s="264"/>
      <c r="N8" s="324"/>
      <c r="O8" s="325"/>
    </row>
    <row r="9" spans="2:15" x14ac:dyDescent="0.2">
      <c r="B9" s="263" t="str">
        <f>INDEX(PRIJEVODI!B:D,MATCH("ZP-003",PRIJEVODI!A:A,0),MATCH(NASLOV!$B$2,PRIJEVODI!$B$1:$D$1,0))</f>
        <v>REGIONALBÜRO  (2)</v>
      </c>
      <c r="C9" s="323"/>
      <c r="D9" s="375" t="s">
        <v>571</v>
      </c>
      <c r="E9" s="376"/>
      <c r="K9" s="299"/>
      <c r="L9" s="300"/>
      <c r="M9" s="265"/>
      <c r="N9" s="326"/>
      <c r="O9" s="327"/>
    </row>
    <row r="10" spans="2:15" x14ac:dyDescent="0.2">
      <c r="B10" s="264"/>
      <c r="C10" s="325"/>
      <c r="D10" s="377"/>
      <c r="E10" s="378"/>
      <c r="K10" s="369" t="str">
        <f>INDEX(PRIJEVODI!B:D,MATCH("ZP-007",PRIJEVODI!A:A,0),MATCH(NASLOV!$B$2,PRIJEVODI!$B$1:$D$1,0))</f>
        <v>Adresse (Ort, Strasse und Hausnummer)    (5)</v>
      </c>
      <c r="L10" s="371"/>
      <c r="M10" s="369" t="str">
        <f>NASLOV!B7</f>
        <v>Am Sonnblick 6, Lichtenau</v>
      </c>
      <c r="N10" s="370"/>
      <c r="O10" s="371"/>
    </row>
    <row r="11" spans="2:15" x14ac:dyDescent="0.2">
      <c r="B11" s="265"/>
      <c r="C11" s="327"/>
      <c r="D11" s="379"/>
      <c r="E11" s="380"/>
      <c r="K11" s="372"/>
      <c r="L11" s="374"/>
      <c r="M11" s="372"/>
      <c r="N11" s="373"/>
      <c r="O11" s="374"/>
    </row>
    <row r="12" spans="2:15" x14ac:dyDescent="0.2">
      <c r="K12" s="295" t="str">
        <f>INDEX(PRIJEVODI!B:D,MATCH("ZP-008",PRIJEVODI!A:A,0),MATCH(NASLOV!$B$2,PRIJEVODI!$B$1:$D$1,0))</f>
        <v>Steuernummer UID des Steuervertreters   (6)</v>
      </c>
      <c r="L12" s="296"/>
      <c r="M12" s="351" t="s">
        <v>1</v>
      </c>
      <c r="N12" s="362"/>
      <c r="O12" s="278"/>
    </row>
    <row r="13" spans="2:15" x14ac:dyDescent="0.2">
      <c r="K13" s="299"/>
      <c r="L13" s="300"/>
      <c r="M13" s="353"/>
      <c r="N13" s="274"/>
      <c r="O13" s="276"/>
    </row>
    <row r="19" spans="2:15" x14ac:dyDescent="0.2">
      <c r="E19" s="6"/>
      <c r="F19" s="6"/>
      <c r="G19" s="306" t="str">
        <f>INDEX(PRIJEVODI!B:D,MATCH("ZP-010",PRIJEVODI!A:A,0),MATCH(NASLOV!$B$2,PRIJEVODI!$B$1:$D$1,0))</f>
        <v>Zusammenfassende Meldung IG Lieferung</v>
      </c>
      <c r="H19" s="306"/>
      <c r="I19" s="306"/>
      <c r="J19" s="306"/>
      <c r="K19" s="6"/>
      <c r="L19" s="6"/>
      <c r="M19" s="6"/>
    </row>
    <row r="20" spans="2:15" x14ac:dyDescent="0.2">
      <c r="E20" s="6"/>
      <c r="F20" s="6"/>
      <c r="G20" s="306"/>
      <c r="H20" s="306"/>
      <c r="I20" s="306"/>
      <c r="J20" s="306"/>
      <c r="K20" s="6"/>
      <c r="L20" s="6"/>
      <c r="M20" s="6"/>
    </row>
    <row r="21" spans="2:15" x14ac:dyDescent="0.2">
      <c r="E21" s="6"/>
      <c r="F21" s="6"/>
      <c r="G21" s="6"/>
      <c r="H21" s="6"/>
      <c r="I21" s="6"/>
      <c r="J21" s="6"/>
      <c r="K21" s="6"/>
      <c r="L21" s="6"/>
      <c r="M21" s="6"/>
    </row>
    <row r="22" spans="2:15" x14ac:dyDescent="0.2">
      <c r="E22" s="6"/>
      <c r="F22" s="6"/>
      <c r="G22" s="6"/>
      <c r="H22" s="6"/>
      <c r="I22" s="6"/>
      <c r="J22" s="6"/>
      <c r="K22" s="6"/>
      <c r="L22" s="6"/>
      <c r="M22" s="6"/>
    </row>
    <row r="23" spans="2:15" x14ac:dyDescent="0.2">
      <c r="E23" s="367" t="str">
        <f>INDEX(PRIJEVODI!B:D,MATCH("ZP-011",PRIJEVODI!A:A,0),MATCH(NASLOV!$B$2,PRIJEVODI!$B$1:$D$1,0))</f>
        <v xml:space="preserve">Zusammenfassende Meldung für die Lieferungen von Gütern und Dienstleistungen in andere EU Mitgliedstaten </v>
      </c>
      <c r="F23" s="367"/>
      <c r="G23" s="367"/>
      <c r="H23" s="367"/>
      <c r="I23" s="367"/>
      <c r="J23" s="367"/>
      <c r="K23" s="367"/>
      <c r="L23" s="367"/>
      <c r="M23" s="367"/>
    </row>
    <row r="24" spans="2:15" x14ac:dyDescent="0.2">
      <c r="E24" s="367"/>
      <c r="F24" s="367"/>
      <c r="G24" s="367"/>
      <c r="H24" s="367"/>
      <c r="I24" s="367"/>
      <c r="J24" s="367"/>
      <c r="K24" s="367"/>
      <c r="L24" s="367"/>
      <c r="M24" s="367"/>
    </row>
    <row r="25" spans="2:15" x14ac:dyDescent="0.2">
      <c r="E25" s="367"/>
      <c r="F25" s="367"/>
      <c r="G25" s="367"/>
      <c r="H25" s="367"/>
      <c r="I25" s="367"/>
      <c r="J25" s="367"/>
      <c r="K25" s="367"/>
      <c r="L25" s="367"/>
      <c r="M25" s="367"/>
    </row>
    <row r="28" spans="2:15" x14ac:dyDescent="0.2">
      <c r="B28" s="301" t="str">
        <f>INDEX(PRIJEVODI!B:D,MATCH("ZP-012",PRIJEVODI!A:A,0),MATCH(NASLOV!$B$2,PRIJEVODI!$B$1:$D$1,0))</f>
        <v>Ordnungsnummer (8)</v>
      </c>
      <c r="C28" s="301" t="str">
        <f>INDEX(PRIJEVODI!B:D,MATCH("ZP-013",PRIJEVODI!A:A,0),MATCH(NASLOV!$B$2,PRIJEVODI!$B$1:$D$1,0))</f>
        <v>Landescode (9)</v>
      </c>
      <c r="D28" s="295" t="str">
        <f>INDEX(PRIJEVODI!B:D,MATCH("ZP-014",PRIJEVODI!A:A,0),MATCH(NASLOV!$B$2,PRIJEVODI!$B$1:$D$1,0))</f>
        <v>Steuernummer UID des Empfängers (ohne Landesvorwahl)   (10)</v>
      </c>
      <c r="E28" s="296"/>
      <c r="F28" s="295" t="str">
        <f>INDEX(PRIJEVODI!B:D,MATCH("ZP-015",PRIJEVODI!A:A,0),MATCH(NASLOV!$B$2,PRIJEVODI!$B$1:$D$1,0))</f>
        <v>Wert der Güterlieferung (in Kuna und Lipa)    (11)</v>
      </c>
      <c r="G28" s="296"/>
      <c r="H28" s="295" t="str">
        <f>INDEX(PRIJEVODI!B:D,MATCH("ZP-016",PRIJEVODI!A:A,0),MATCH(NASLOV!$B$2,PRIJEVODI!$B$1:$D$1,0))</f>
        <v>Wert der Güterlieferung unter dem Verfahren 42 und 63 (in Kuna und Lipa)   (12)</v>
      </c>
      <c r="I28" s="296"/>
      <c r="J28" s="295" t="str">
        <f>INDEX(PRIJEVODI!B:D,MATCH("ZP-017",PRIJEVODI!A:A,0),MATCH(NASLOV!$B$2,PRIJEVODI!$B$1:$D$1,0))</f>
        <v>Wert der Güterlieferung im Rahmen des Dreiecksgeschäft  (in Kuna und Lipa)   (13)</v>
      </c>
      <c r="K28" s="357"/>
      <c r="L28" s="296"/>
      <c r="M28" s="295" t="str">
        <f>INDEX(PRIJEVODI!B:D,MATCH("ZP-018",PRIJEVODI!A:A,0),MATCH(NASLOV!$B$2,PRIJEVODI!$B$1:$D$1,0))</f>
        <v>Wert der erbrachten Dienstleistungen (in Kuna und Lipa)  (14)</v>
      </c>
      <c r="N28" s="357"/>
      <c r="O28" s="296"/>
    </row>
    <row r="29" spans="2:15" x14ac:dyDescent="0.2">
      <c r="B29" s="302"/>
      <c r="C29" s="302"/>
      <c r="D29" s="297"/>
      <c r="E29" s="298"/>
      <c r="F29" s="297"/>
      <c r="G29" s="298"/>
      <c r="H29" s="297"/>
      <c r="I29" s="298"/>
      <c r="J29" s="297"/>
      <c r="K29" s="368"/>
      <c r="L29" s="298"/>
      <c r="M29" s="297"/>
      <c r="N29" s="368"/>
      <c r="O29" s="298"/>
    </row>
    <row r="30" spans="2:15" x14ac:dyDescent="0.2">
      <c r="B30" s="302"/>
      <c r="C30" s="302"/>
      <c r="D30" s="297"/>
      <c r="E30" s="298"/>
      <c r="F30" s="297"/>
      <c r="G30" s="298"/>
      <c r="H30" s="297"/>
      <c r="I30" s="298"/>
      <c r="J30" s="297"/>
      <c r="K30" s="368"/>
      <c r="L30" s="298"/>
      <c r="M30" s="297"/>
      <c r="N30" s="368"/>
      <c r="O30" s="298"/>
    </row>
    <row r="31" spans="2:15" x14ac:dyDescent="0.2">
      <c r="B31" s="302"/>
      <c r="C31" s="302"/>
      <c r="D31" s="297"/>
      <c r="E31" s="298"/>
      <c r="F31" s="297"/>
      <c r="G31" s="298"/>
      <c r="H31" s="297"/>
      <c r="I31" s="298"/>
      <c r="J31" s="297"/>
      <c r="K31" s="368"/>
      <c r="L31" s="298"/>
      <c r="M31" s="297"/>
      <c r="N31" s="368"/>
      <c r="O31" s="298"/>
    </row>
    <row r="32" spans="2:15" x14ac:dyDescent="0.2">
      <c r="B32" s="302"/>
      <c r="C32" s="302"/>
      <c r="D32" s="297"/>
      <c r="E32" s="298"/>
      <c r="F32" s="297"/>
      <c r="G32" s="298"/>
      <c r="H32" s="297"/>
      <c r="I32" s="298"/>
      <c r="J32" s="297"/>
      <c r="K32" s="368"/>
      <c r="L32" s="298"/>
      <c r="M32" s="297"/>
      <c r="N32" s="368"/>
      <c r="O32" s="298"/>
    </row>
    <row r="33" spans="2:15" x14ac:dyDescent="0.2">
      <c r="B33" s="302"/>
      <c r="C33" s="302"/>
      <c r="D33" s="297"/>
      <c r="E33" s="298"/>
      <c r="F33" s="297"/>
      <c r="G33" s="298"/>
      <c r="H33" s="297"/>
      <c r="I33" s="298"/>
      <c r="J33" s="297"/>
      <c r="K33" s="368"/>
      <c r="L33" s="298"/>
      <c r="M33" s="297"/>
      <c r="N33" s="368"/>
      <c r="O33" s="298"/>
    </row>
    <row r="34" spans="2:15" x14ac:dyDescent="0.2">
      <c r="B34" s="302"/>
      <c r="C34" s="302"/>
      <c r="D34" s="297"/>
      <c r="E34" s="298"/>
      <c r="F34" s="297"/>
      <c r="G34" s="298"/>
      <c r="H34" s="297"/>
      <c r="I34" s="298"/>
      <c r="J34" s="297"/>
      <c r="K34" s="368"/>
      <c r="L34" s="298"/>
      <c r="M34" s="297"/>
      <c r="N34" s="368"/>
      <c r="O34" s="298"/>
    </row>
    <row r="35" spans="2:15" x14ac:dyDescent="0.2">
      <c r="B35" s="302"/>
      <c r="C35" s="302"/>
      <c r="D35" s="297"/>
      <c r="E35" s="298"/>
      <c r="F35" s="297"/>
      <c r="G35" s="298"/>
      <c r="H35" s="297"/>
      <c r="I35" s="298"/>
      <c r="J35" s="297"/>
      <c r="K35" s="368"/>
      <c r="L35" s="298"/>
      <c r="M35" s="297"/>
      <c r="N35" s="368"/>
      <c r="O35" s="298"/>
    </row>
    <row r="36" spans="2:15" x14ac:dyDescent="0.2">
      <c r="B36" s="302"/>
      <c r="C36" s="302"/>
      <c r="D36" s="297"/>
      <c r="E36" s="298"/>
      <c r="F36" s="297"/>
      <c r="G36" s="298"/>
      <c r="H36" s="297"/>
      <c r="I36" s="298"/>
      <c r="J36" s="297"/>
      <c r="K36" s="368"/>
      <c r="L36" s="298"/>
      <c r="M36" s="297"/>
      <c r="N36" s="368"/>
      <c r="O36" s="298"/>
    </row>
    <row r="37" spans="2:15" x14ac:dyDescent="0.2">
      <c r="B37" s="303"/>
      <c r="C37" s="303"/>
      <c r="D37" s="299"/>
      <c r="E37" s="300"/>
      <c r="F37" s="299"/>
      <c r="G37" s="300"/>
      <c r="H37" s="299"/>
      <c r="I37" s="300"/>
      <c r="J37" s="299"/>
      <c r="K37" s="358"/>
      <c r="L37" s="300"/>
      <c r="M37" s="299"/>
      <c r="N37" s="358"/>
      <c r="O37" s="300"/>
    </row>
    <row r="38" spans="2:15" x14ac:dyDescent="0.2">
      <c r="B38" s="2"/>
      <c r="C38" s="2"/>
      <c r="D38" s="359"/>
      <c r="E38" s="361"/>
      <c r="F38" s="365"/>
      <c r="G38" s="366"/>
      <c r="H38" s="359"/>
      <c r="I38" s="360"/>
      <c r="J38" s="359"/>
      <c r="K38" s="360"/>
      <c r="L38" s="361"/>
      <c r="M38" s="359"/>
      <c r="N38" s="360"/>
      <c r="O38" s="361"/>
    </row>
    <row r="39" spans="2:15" x14ac:dyDescent="0.2">
      <c r="B39" s="2"/>
      <c r="C39" s="2"/>
      <c r="D39" s="359"/>
      <c r="E39" s="361"/>
      <c r="F39" s="365"/>
      <c r="G39" s="366"/>
      <c r="H39" s="359"/>
      <c r="I39" s="360"/>
      <c r="J39" s="359"/>
      <c r="K39" s="360"/>
      <c r="L39" s="361"/>
      <c r="M39" s="359"/>
      <c r="N39" s="360"/>
      <c r="O39" s="361"/>
    </row>
    <row r="40" spans="2:15" x14ac:dyDescent="0.2">
      <c r="B40" s="2"/>
      <c r="C40" s="2"/>
      <c r="D40" s="359"/>
      <c r="E40" s="361"/>
      <c r="F40" s="365"/>
      <c r="G40" s="366"/>
      <c r="H40" s="359"/>
      <c r="I40" s="360"/>
      <c r="J40" s="359"/>
      <c r="K40" s="360"/>
      <c r="L40" s="361"/>
      <c r="M40" s="359"/>
      <c r="N40" s="360"/>
      <c r="O40" s="361"/>
    </row>
    <row r="41" spans="2:15" x14ac:dyDescent="0.2">
      <c r="B41" s="2"/>
      <c r="C41" s="2"/>
      <c r="D41" s="359"/>
      <c r="E41" s="361"/>
      <c r="F41" s="365"/>
      <c r="G41" s="366"/>
      <c r="H41" s="359"/>
      <c r="I41" s="360"/>
      <c r="J41" s="359"/>
      <c r="K41" s="360"/>
      <c r="L41" s="361"/>
      <c r="M41" s="359"/>
      <c r="N41" s="360"/>
      <c r="O41" s="361"/>
    </row>
    <row r="42" spans="2:15" x14ac:dyDescent="0.2">
      <c r="B42" s="2"/>
      <c r="C42" s="2"/>
      <c r="D42" s="359"/>
      <c r="E42" s="361"/>
      <c r="F42" s="365"/>
      <c r="G42" s="366"/>
      <c r="H42" s="359"/>
      <c r="I42" s="360"/>
      <c r="J42" s="359"/>
      <c r="K42" s="360"/>
      <c r="L42" s="361"/>
      <c r="M42" s="359"/>
      <c r="N42" s="360"/>
      <c r="O42" s="361"/>
    </row>
    <row r="43" spans="2:15" x14ac:dyDescent="0.2">
      <c r="B43" s="2"/>
      <c r="C43" s="2"/>
      <c r="D43" s="359"/>
      <c r="E43" s="361"/>
      <c r="F43" s="365"/>
      <c r="G43" s="366"/>
      <c r="H43" s="359"/>
      <c r="I43" s="360"/>
      <c r="J43" s="359"/>
      <c r="K43" s="360"/>
      <c r="L43" s="361"/>
      <c r="M43" s="359"/>
      <c r="N43" s="360"/>
      <c r="O43" s="361"/>
    </row>
    <row r="44" spans="2:15" x14ac:dyDescent="0.2">
      <c r="B44" s="2"/>
      <c r="C44" s="2"/>
      <c r="D44" s="359"/>
      <c r="E44" s="361"/>
      <c r="F44" s="365"/>
      <c r="G44" s="366"/>
      <c r="H44" s="359"/>
      <c r="I44" s="360"/>
      <c r="J44" s="359"/>
      <c r="K44" s="360"/>
      <c r="L44" s="361"/>
      <c r="M44" s="359"/>
      <c r="N44" s="360"/>
      <c r="O44" s="361"/>
    </row>
    <row r="45" spans="2:15" x14ac:dyDescent="0.2">
      <c r="B45" s="2"/>
      <c r="C45" s="2"/>
      <c r="D45" s="359"/>
      <c r="E45" s="361"/>
      <c r="F45" s="359"/>
      <c r="G45" s="361"/>
      <c r="H45" s="359"/>
      <c r="I45" s="360"/>
      <c r="J45" s="359"/>
      <c r="K45" s="360"/>
      <c r="L45" s="361"/>
      <c r="M45" s="359"/>
      <c r="N45" s="360"/>
      <c r="O45" s="361"/>
    </row>
    <row r="46" spans="2:15" x14ac:dyDescent="0.2">
      <c r="B46" s="2"/>
      <c r="C46" s="2"/>
      <c r="D46" s="359"/>
      <c r="E46" s="361"/>
      <c r="F46" s="359"/>
      <c r="G46" s="361"/>
      <c r="H46" s="359"/>
      <c r="I46" s="360"/>
      <c r="J46" s="359"/>
      <c r="K46" s="360"/>
      <c r="L46" s="361"/>
      <c r="M46" s="359"/>
      <c r="N46" s="360"/>
      <c r="O46" s="361"/>
    </row>
    <row r="47" spans="2:15" x14ac:dyDescent="0.2">
      <c r="B47" s="2"/>
      <c r="C47" s="2"/>
      <c r="D47" s="359"/>
      <c r="E47" s="361"/>
      <c r="F47" s="359"/>
      <c r="G47" s="361"/>
      <c r="H47" s="359"/>
      <c r="I47" s="360"/>
      <c r="J47" s="359"/>
      <c r="K47" s="360"/>
      <c r="L47" s="361"/>
      <c r="M47" s="359"/>
      <c r="N47" s="360"/>
      <c r="O47" s="361"/>
    </row>
    <row r="48" spans="2:15" x14ac:dyDescent="0.2">
      <c r="B48" s="2"/>
      <c r="C48" s="2"/>
      <c r="D48" s="359"/>
      <c r="E48" s="361"/>
      <c r="F48" s="359"/>
      <c r="G48" s="361"/>
      <c r="H48" s="359"/>
      <c r="I48" s="360"/>
      <c r="J48" s="359"/>
      <c r="K48" s="360"/>
      <c r="L48" s="361"/>
      <c r="M48" s="359"/>
      <c r="N48" s="360"/>
      <c r="O48" s="361"/>
    </row>
    <row r="49" spans="2:15" x14ac:dyDescent="0.2">
      <c r="B49" s="2"/>
      <c r="C49" s="2"/>
      <c r="D49" s="359"/>
      <c r="E49" s="361"/>
      <c r="F49" s="359"/>
      <c r="G49" s="361"/>
      <c r="H49" s="359"/>
      <c r="I49" s="360"/>
      <c r="J49" s="359"/>
      <c r="K49" s="360"/>
      <c r="L49" s="361"/>
      <c r="M49" s="359"/>
      <c r="N49" s="360"/>
      <c r="O49" s="361"/>
    </row>
    <row r="50" spans="2:15" x14ac:dyDescent="0.2">
      <c r="B50" s="2"/>
      <c r="C50" s="2"/>
      <c r="D50" s="359"/>
      <c r="E50" s="361"/>
      <c r="F50" s="363"/>
      <c r="G50" s="364"/>
      <c r="H50" s="359"/>
      <c r="I50" s="360"/>
      <c r="J50" s="359"/>
      <c r="K50" s="360"/>
      <c r="L50" s="361"/>
      <c r="M50" s="359"/>
      <c r="N50" s="360"/>
      <c r="O50" s="361"/>
    </row>
    <row r="51" spans="2:15" x14ac:dyDescent="0.2">
      <c r="B51" s="2"/>
      <c r="C51" s="2"/>
      <c r="D51" s="359"/>
      <c r="E51" s="361"/>
      <c r="F51" s="359"/>
      <c r="G51" s="361"/>
      <c r="H51" s="359"/>
      <c r="I51" s="360"/>
      <c r="J51" s="359"/>
      <c r="K51" s="360"/>
      <c r="L51" s="361"/>
      <c r="M51" s="359"/>
      <c r="N51" s="360"/>
      <c r="O51" s="361"/>
    </row>
    <row r="52" spans="2:15" x14ac:dyDescent="0.2">
      <c r="B52" s="2"/>
      <c r="C52" s="2"/>
      <c r="D52" s="359"/>
      <c r="E52" s="361"/>
      <c r="F52" s="359"/>
      <c r="G52" s="361"/>
      <c r="H52" s="359"/>
      <c r="I52" s="360"/>
      <c r="J52" s="359"/>
      <c r="K52" s="360"/>
      <c r="L52" s="361"/>
      <c r="M52" s="359"/>
      <c r="N52" s="360"/>
      <c r="O52" s="361"/>
    </row>
    <row r="53" spans="2:15" x14ac:dyDescent="0.2">
      <c r="B53" s="2"/>
      <c r="C53" s="2"/>
      <c r="D53" s="359"/>
      <c r="E53" s="361"/>
      <c r="F53" s="359"/>
      <c r="G53" s="361"/>
      <c r="H53" s="359"/>
      <c r="I53" s="360"/>
      <c r="J53" s="359"/>
      <c r="K53" s="360"/>
      <c r="L53" s="361"/>
      <c r="M53" s="359"/>
      <c r="N53" s="360"/>
      <c r="O53" s="361"/>
    </row>
    <row r="54" spans="2:15" x14ac:dyDescent="0.2">
      <c r="B54" s="2"/>
      <c r="C54" s="2"/>
      <c r="D54" s="359"/>
      <c r="E54" s="361"/>
      <c r="F54" s="359"/>
      <c r="G54" s="361"/>
      <c r="H54" s="359"/>
      <c r="I54" s="360"/>
      <c r="J54" s="359"/>
      <c r="K54" s="360"/>
      <c r="L54" s="361"/>
      <c r="M54" s="359"/>
      <c r="N54" s="360"/>
      <c r="O54" s="361"/>
    </row>
    <row r="55" spans="2:15" x14ac:dyDescent="0.2">
      <c r="B55" s="2"/>
      <c r="C55" s="2"/>
      <c r="D55" s="359"/>
      <c r="E55" s="361"/>
      <c r="F55" s="359"/>
      <c r="G55" s="361"/>
      <c r="H55" s="359"/>
      <c r="I55" s="360"/>
      <c r="J55" s="359"/>
      <c r="K55" s="360"/>
      <c r="L55" s="361"/>
      <c r="M55" s="359"/>
      <c r="N55" s="360"/>
      <c r="O55" s="361"/>
    </row>
    <row r="56" spans="2:15" x14ac:dyDescent="0.2">
      <c r="B56" s="2"/>
      <c r="C56" s="2"/>
      <c r="D56" s="359"/>
      <c r="E56" s="361"/>
      <c r="F56" s="359"/>
      <c r="G56" s="361"/>
      <c r="H56" s="359"/>
      <c r="I56" s="360"/>
      <c r="J56" s="359"/>
      <c r="K56" s="360"/>
      <c r="L56" s="361"/>
      <c r="M56" s="359"/>
      <c r="N56" s="360"/>
      <c r="O56" s="361"/>
    </row>
    <row r="57" spans="2:15" x14ac:dyDescent="0.2">
      <c r="B57" s="2"/>
      <c r="C57" s="2"/>
      <c r="D57" s="359"/>
      <c r="E57" s="361"/>
      <c r="F57" s="359"/>
      <c r="G57" s="361"/>
      <c r="H57" s="359"/>
      <c r="I57" s="360"/>
      <c r="J57" s="359"/>
      <c r="K57" s="360"/>
      <c r="L57" s="361"/>
      <c r="M57" s="359"/>
      <c r="N57" s="360"/>
      <c r="O57" s="361"/>
    </row>
    <row r="58" spans="2:15" x14ac:dyDescent="0.2">
      <c r="B58" s="2"/>
      <c r="C58" s="2"/>
      <c r="D58" s="359"/>
      <c r="E58" s="361"/>
      <c r="F58" s="359"/>
      <c r="G58" s="361"/>
      <c r="H58" s="359"/>
      <c r="I58" s="360"/>
      <c r="J58" s="359"/>
      <c r="K58" s="360"/>
      <c r="L58" s="361"/>
      <c r="M58" s="359"/>
      <c r="N58" s="360"/>
      <c r="O58" s="361"/>
    </row>
    <row r="59" spans="2:15" x14ac:dyDescent="0.2">
      <c r="B59" s="2"/>
      <c r="C59" s="2"/>
      <c r="D59" s="359"/>
      <c r="E59" s="361"/>
      <c r="F59" s="359"/>
      <c r="G59" s="361"/>
      <c r="H59" s="359"/>
      <c r="I59" s="360"/>
      <c r="J59" s="359"/>
      <c r="K59" s="360"/>
      <c r="L59" s="361"/>
      <c r="M59" s="359"/>
      <c r="N59" s="360"/>
      <c r="O59" s="361"/>
    </row>
    <row r="60" spans="2:15" x14ac:dyDescent="0.2">
      <c r="B60" s="2"/>
      <c r="C60" s="2"/>
      <c r="D60" s="359"/>
      <c r="E60" s="361"/>
      <c r="F60" s="359"/>
      <c r="G60" s="361"/>
      <c r="H60" s="359"/>
      <c r="I60" s="360"/>
      <c r="J60" s="359"/>
      <c r="K60" s="360"/>
      <c r="L60" s="361"/>
      <c r="M60" s="359"/>
      <c r="N60" s="360"/>
      <c r="O60" s="361"/>
    </row>
    <row r="61" spans="2:15" x14ac:dyDescent="0.2">
      <c r="B61" s="2"/>
      <c r="C61" s="2"/>
      <c r="D61" s="359"/>
      <c r="E61" s="361"/>
      <c r="F61" s="359"/>
      <c r="G61" s="361"/>
      <c r="H61" s="359"/>
      <c r="I61" s="360"/>
      <c r="J61" s="359"/>
      <c r="K61" s="360"/>
      <c r="L61" s="361"/>
      <c r="M61" s="359"/>
      <c r="N61" s="360"/>
      <c r="O61" s="361"/>
    </row>
    <row r="62" spans="2:15" x14ac:dyDescent="0.2">
      <c r="B62" s="2"/>
      <c r="C62" s="2"/>
      <c r="D62" s="359"/>
      <c r="E62" s="361"/>
      <c r="F62" s="359"/>
      <c r="G62" s="361"/>
      <c r="H62" s="359"/>
      <c r="I62" s="360"/>
      <c r="J62" s="359"/>
      <c r="K62" s="360"/>
      <c r="L62" s="361"/>
      <c r="M62" s="359"/>
      <c r="N62" s="360"/>
      <c r="O62" s="361"/>
    </row>
    <row r="63" spans="2:15" x14ac:dyDescent="0.2">
      <c r="B63" s="362" t="str">
        <f>INDEX(PRIJEVODI!B:D,MATCH("ZP-019",PRIJEVODI!A:A,0),MATCH(NASLOV!$B$2,PRIJEVODI!$B$1:$D$1,0))</f>
        <v>Gesamtwert</v>
      </c>
      <c r="C63" s="272"/>
      <c r="D63" s="272"/>
      <c r="E63" s="278"/>
      <c r="F63" s="362" t="s">
        <v>2</v>
      </c>
      <c r="G63" s="278"/>
      <c r="H63" s="362" t="s">
        <v>3</v>
      </c>
      <c r="I63" s="278"/>
      <c r="J63" s="362" t="s">
        <v>4</v>
      </c>
      <c r="K63" s="272"/>
      <c r="L63" s="278"/>
      <c r="M63" s="362" t="s">
        <v>5</v>
      </c>
      <c r="N63" s="272"/>
      <c r="O63" s="278"/>
    </row>
    <row r="64" spans="2:15" ht="25.5" customHeight="1" x14ac:dyDescent="0.2">
      <c r="B64" s="274"/>
      <c r="C64" s="275"/>
      <c r="D64" s="275"/>
      <c r="E64" s="276"/>
      <c r="F64" s="274"/>
      <c r="G64" s="276"/>
      <c r="H64" s="274"/>
      <c r="I64" s="276"/>
      <c r="J64" s="274"/>
      <c r="K64" s="275"/>
      <c r="L64" s="276"/>
      <c r="M64" s="274"/>
      <c r="N64" s="275"/>
      <c r="O64" s="276"/>
    </row>
    <row r="75" spans="2:15" x14ac:dyDescent="0.2">
      <c r="B75" s="263" t="str">
        <f>INDEX(PRIJEVODI!B:D,MATCH("ZP-020",PRIJEVODI!A:A,0),MATCH(NASLOV!$B$2,PRIJEVODI!$B$1:$D$1,0))</f>
        <v>Hiermit bestätige ich die Richtigkeit der genannten Daten</v>
      </c>
      <c r="C75" s="322"/>
      <c r="D75" s="322"/>
      <c r="E75" s="322"/>
      <c r="F75" s="322"/>
      <c r="G75" s="322"/>
      <c r="H75" s="323"/>
      <c r="K75" s="295" t="str">
        <f>INDEX(PRIJEVODI!B:D,MATCH("ZP-022",PRIJEVODI!A:A,0),MATCH(NASLOV!$B$2,PRIJEVODI!$B$1:$D$1,0))</f>
        <v>Unterschrift    (20)</v>
      </c>
      <c r="L75" s="296"/>
      <c r="M75" s="263"/>
      <c r="N75" s="322"/>
      <c r="O75" s="323"/>
    </row>
    <row r="76" spans="2:15" x14ac:dyDescent="0.2">
      <c r="B76" s="265"/>
      <c r="C76" s="326"/>
      <c r="D76" s="326"/>
      <c r="E76" s="326"/>
      <c r="F76" s="326"/>
      <c r="G76" s="326"/>
      <c r="H76" s="327"/>
      <c r="K76" s="299"/>
      <c r="L76" s="300"/>
      <c r="M76" s="265"/>
      <c r="N76" s="326"/>
      <c r="O76" s="327"/>
    </row>
    <row r="77" spans="2:15" x14ac:dyDescent="0.2">
      <c r="B77" s="295" t="str">
        <f>INDEX(PRIJEVODI!B:D,MATCH("ZP-021",PRIJEVODI!A:A,0),MATCH(NASLOV!$B$2,PRIJEVODI!$B$1:$D$1,0))</f>
        <v>Berechnung verfasst von (Name und Nachname)  (19)</v>
      </c>
      <c r="C77" s="357"/>
      <c r="D77" s="296"/>
      <c r="E77" s="263" t="s">
        <v>568</v>
      </c>
      <c r="F77" s="322"/>
      <c r="G77" s="322"/>
      <c r="H77" s="323"/>
      <c r="K77" s="295" t="str">
        <f>INDEX(PRIJEVODI!B:D,MATCH("ZP-023",PRIJEVODI!A:A,0),MATCH(NASLOV!$B$2,PRIJEVODI!$B$1:$D$1,0))</f>
        <v>Telefonnummer / Fax /E-Mail  (21)</v>
      </c>
      <c r="L77" s="296"/>
      <c r="M77" s="356" t="s">
        <v>569</v>
      </c>
      <c r="N77" s="357"/>
      <c r="O77" s="296"/>
    </row>
    <row r="78" spans="2:15" ht="27" customHeight="1" x14ac:dyDescent="0.2">
      <c r="B78" s="299"/>
      <c r="C78" s="358"/>
      <c r="D78" s="300"/>
      <c r="E78" s="265"/>
      <c r="F78" s="326"/>
      <c r="G78" s="326"/>
      <c r="H78" s="327"/>
      <c r="K78" s="299"/>
      <c r="L78" s="300"/>
      <c r="M78" s="299"/>
      <c r="N78" s="358"/>
      <c r="O78" s="300"/>
    </row>
  </sheetData>
  <mergeCells count="161">
    <mergeCell ref="K12:L13"/>
    <mergeCell ref="M5:M6"/>
    <mergeCell ref="N5:O6"/>
    <mergeCell ref="M12:M13"/>
    <mergeCell ref="N12:O13"/>
    <mergeCell ref="M7:O9"/>
    <mergeCell ref="M10:O11"/>
    <mergeCell ref="B6:C8"/>
    <mergeCell ref="B9:C11"/>
    <mergeCell ref="D6:E8"/>
    <mergeCell ref="D9:E11"/>
    <mergeCell ref="K5:L6"/>
    <mergeCell ref="K7:L9"/>
    <mergeCell ref="K10:L11"/>
    <mergeCell ref="G19:J20"/>
    <mergeCell ref="E23:M25"/>
    <mergeCell ref="B28:B37"/>
    <mergeCell ref="C28:C37"/>
    <mergeCell ref="D28:E37"/>
    <mergeCell ref="F28:G37"/>
    <mergeCell ref="H28:I37"/>
    <mergeCell ref="J28:L37"/>
    <mergeCell ref="M28:O37"/>
    <mergeCell ref="D51:E51"/>
    <mergeCell ref="H38:I38"/>
    <mergeCell ref="D38:E38"/>
    <mergeCell ref="D39:E39"/>
    <mergeCell ref="D40:E40"/>
    <mergeCell ref="D41:E41"/>
    <mergeCell ref="D42:E42"/>
    <mergeCell ref="D43:E43"/>
    <mergeCell ref="D44:E44"/>
    <mergeCell ref="D45:E45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D60:E60"/>
    <mergeCell ref="D56:E56"/>
    <mergeCell ref="D57:E57"/>
    <mergeCell ref="H45:I45"/>
    <mergeCell ref="H46:I46"/>
    <mergeCell ref="F55:G55"/>
    <mergeCell ref="F56:G56"/>
    <mergeCell ref="F57:G57"/>
    <mergeCell ref="F58:G58"/>
    <mergeCell ref="F59:G59"/>
    <mergeCell ref="F60:G60"/>
    <mergeCell ref="F49:G49"/>
    <mergeCell ref="F50:G50"/>
    <mergeCell ref="F51:G51"/>
    <mergeCell ref="F52:G52"/>
    <mergeCell ref="F53:G53"/>
    <mergeCell ref="F54:G54"/>
    <mergeCell ref="D52:E52"/>
    <mergeCell ref="D53:E53"/>
    <mergeCell ref="D46:E46"/>
    <mergeCell ref="D47:E47"/>
    <mergeCell ref="D48:E48"/>
    <mergeCell ref="D49:E49"/>
    <mergeCell ref="D50:E50"/>
    <mergeCell ref="B63:E64"/>
    <mergeCell ref="H55:I55"/>
    <mergeCell ref="H56:I56"/>
    <mergeCell ref="H57:I57"/>
    <mergeCell ref="H58:I58"/>
    <mergeCell ref="H59:I59"/>
    <mergeCell ref="H60:I60"/>
    <mergeCell ref="H61:I61"/>
    <mergeCell ref="H47:I47"/>
    <mergeCell ref="H48:I48"/>
    <mergeCell ref="H49:I49"/>
    <mergeCell ref="H50:I50"/>
    <mergeCell ref="H51:I51"/>
    <mergeCell ref="H52:I52"/>
    <mergeCell ref="F61:G61"/>
    <mergeCell ref="F62:G62"/>
    <mergeCell ref="D61:E61"/>
    <mergeCell ref="D62:E62"/>
    <mergeCell ref="D54:E54"/>
    <mergeCell ref="D55:E55"/>
    <mergeCell ref="F47:G47"/>
    <mergeCell ref="F48:G48"/>
    <mergeCell ref="D58:E58"/>
    <mergeCell ref="D59:E59"/>
    <mergeCell ref="J47:L47"/>
    <mergeCell ref="J48:L48"/>
    <mergeCell ref="J49:L49"/>
    <mergeCell ref="J50:L50"/>
    <mergeCell ref="J51:L51"/>
    <mergeCell ref="J52:L52"/>
    <mergeCell ref="H62:I62"/>
    <mergeCell ref="J38:L38"/>
    <mergeCell ref="J39:L39"/>
    <mergeCell ref="J40:L40"/>
    <mergeCell ref="J41:L41"/>
    <mergeCell ref="J42:L42"/>
    <mergeCell ref="J43:L43"/>
    <mergeCell ref="J44:L44"/>
    <mergeCell ref="J45:L45"/>
    <mergeCell ref="J46:L46"/>
    <mergeCell ref="H53:I53"/>
    <mergeCell ref="H54:I54"/>
    <mergeCell ref="H39:I39"/>
    <mergeCell ref="H40:I40"/>
    <mergeCell ref="H41:I41"/>
    <mergeCell ref="H42:I42"/>
    <mergeCell ref="H43:I43"/>
    <mergeCell ref="H44:I44"/>
    <mergeCell ref="J59:L59"/>
    <mergeCell ref="J60:L60"/>
    <mergeCell ref="J61:L61"/>
    <mergeCell ref="J62:L62"/>
    <mergeCell ref="F63:G64"/>
    <mergeCell ref="H63:I64"/>
    <mergeCell ref="J63:L64"/>
    <mergeCell ref="J53:L53"/>
    <mergeCell ref="J54:L54"/>
    <mergeCell ref="J56:L56"/>
    <mergeCell ref="J55:L55"/>
    <mergeCell ref="J57:L57"/>
    <mergeCell ref="J58:L58"/>
    <mergeCell ref="M63:O64"/>
    <mergeCell ref="M38:O38"/>
    <mergeCell ref="M39:O39"/>
    <mergeCell ref="M40:O40"/>
    <mergeCell ref="M41:O41"/>
    <mergeCell ref="M42:O42"/>
    <mergeCell ref="M43:O43"/>
    <mergeCell ref="M44:O44"/>
    <mergeCell ref="M45:O45"/>
    <mergeCell ref="M46:O46"/>
    <mergeCell ref="M77:O78"/>
    <mergeCell ref="M2:O3"/>
    <mergeCell ref="M59:O59"/>
    <mergeCell ref="M60:O60"/>
    <mergeCell ref="M61:O61"/>
    <mergeCell ref="M62:O62"/>
    <mergeCell ref="B75:H76"/>
    <mergeCell ref="B77:D78"/>
    <mergeCell ref="E77:H78"/>
    <mergeCell ref="K75:L76"/>
    <mergeCell ref="K77:L78"/>
    <mergeCell ref="M75:O76"/>
    <mergeCell ref="M53:O53"/>
    <mergeCell ref="M54:O54"/>
    <mergeCell ref="M55:O55"/>
    <mergeCell ref="M56:O56"/>
    <mergeCell ref="M57:O57"/>
    <mergeCell ref="M58:O58"/>
    <mergeCell ref="M47:O47"/>
    <mergeCell ref="M48:O48"/>
    <mergeCell ref="M49:O49"/>
    <mergeCell ref="M50:O50"/>
    <mergeCell ref="M51:O51"/>
    <mergeCell ref="M52:O52"/>
  </mergeCells>
  <hyperlinks>
    <hyperlink ref="M77" r:id="rId1"/>
  </hyperlinks>
  <pageMargins left="0.70866141732283472" right="0.70866141732283472" top="0.74803149606299213" bottom="0.74803149606299213" header="0.31496062992125984" footer="0.31496062992125984"/>
  <pageSetup paperSize="9" scale="53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4</vt:i4>
      </vt:variant>
    </vt:vector>
  </HeadingPairs>
  <TitlesOfParts>
    <vt:vector size="16" baseType="lpstr">
      <vt:lpstr>PRIJEVODI</vt:lpstr>
      <vt:lpstr>NASLOV</vt:lpstr>
      <vt:lpstr>I-RA</vt:lpstr>
      <vt:lpstr>IC Aq</vt:lpstr>
      <vt:lpstr>U-RA</vt:lpstr>
      <vt:lpstr>INOPPO</vt:lpstr>
      <vt:lpstr>PDV</vt:lpstr>
      <vt:lpstr>URA_75(2)</vt:lpstr>
      <vt:lpstr>ZP</vt:lpstr>
      <vt:lpstr>PDV-S</vt:lpstr>
      <vt:lpstr>FX082020</vt:lpstr>
      <vt:lpstr>Nicht anerkannt</vt:lpstr>
      <vt:lpstr>'IC Aq'!Druckbereich</vt:lpstr>
      <vt:lpstr>'I-RA'!Druckbereich</vt:lpstr>
      <vt:lpstr>PDV!Druckbereich</vt:lpstr>
      <vt:lpstr>'U-RA'!Druckbereich</vt:lpstr>
    </vt:vector>
  </TitlesOfParts>
  <Company>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Aleksić Sonja</dc:creator>
  <cp:lastModifiedBy>User</cp:lastModifiedBy>
  <cp:lastPrinted>2024-06-03T17:30:54Z</cp:lastPrinted>
  <dcterms:created xsi:type="dcterms:W3CDTF">2013-07-05T09:42:56Z</dcterms:created>
  <dcterms:modified xsi:type="dcterms:W3CDTF">2025-02-20T13:16:26Z</dcterms:modified>
</cp:coreProperties>
</file>