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2" activeTab="2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3">'IC Aq'!$A$1:$V$145</definedName>
    <definedName name="_xlnm.Print_Area" localSheetId="2">'I-RA'!$A$1:$X$152</definedName>
    <definedName name="_xlnm.Print_Area" localSheetId="6">PDV!$A$2:$E$73</definedName>
    <definedName name="_xlnm.Print_Area" localSheetId="4">'U-RA'!$A:$X</definedName>
  </definedNames>
  <calcPr calcId="145621"/>
</workbook>
</file>

<file path=xl/calcChain.xml><?xml version="1.0" encoding="utf-8"?>
<calcChain xmlns="http://schemas.openxmlformats.org/spreadsheetml/2006/main">
  <c r="K88" i="8" l="1"/>
  <c r="J88" i="8"/>
  <c r="R230" i="2"/>
  <c r="P230" i="2"/>
  <c r="M230" i="2"/>
  <c r="K230" i="2"/>
  <c r="J230" i="2"/>
  <c r="I230" i="2"/>
  <c r="K207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8" i="2"/>
  <c r="K209" i="2"/>
  <c r="K210" i="2"/>
  <c r="K211" i="2"/>
  <c r="K212" i="2"/>
  <c r="K213" i="2"/>
  <c r="K214" i="2"/>
  <c r="K215" i="2"/>
  <c r="K181" i="2"/>
  <c r="K31" i="2"/>
  <c r="V34" i="1" l="1"/>
  <c r="V35" i="1"/>
  <c r="V33" i="1"/>
  <c r="U93" i="1"/>
  <c r="V30" i="1"/>
  <c r="H30" i="1" s="1"/>
  <c r="V32" i="1"/>
  <c r="V87" i="1"/>
  <c r="V31" i="1"/>
  <c r="H31" i="1" s="1"/>
  <c r="H45" i="1"/>
  <c r="V93" i="1" l="1"/>
  <c r="S230" i="2"/>
  <c r="Q230" i="2"/>
  <c r="O230" i="2"/>
  <c r="N230" i="2"/>
  <c r="N217" i="2"/>
  <c r="P217" i="2"/>
  <c r="R217" i="2"/>
  <c r="N218" i="2"/>
  <c r="P218" i="2"/>
  <c r="R218" i="2"/>
  <c r="N219" i="2"/>
  <c r="P219" i="2"/>
  <c r="M219" i="2" s="1"/>
  <c r="R219" i="2"/>
  <c r="N220" i="2"/>
  <c r="P220" i="2"/>
  <c r="R220" i="2"/>
  <c r="N221" i="2"/>
  <c r="P221" i="2"/>
  <c r="R221" i="2"/>
  <c r="N222" i="2"/>
  <c r="P222" i="2"/>
  <c r="R222" i="2"/>
  <c r="N223" i="2"/>
  <c r="M223" i="2" s="1"/>
  <c r="K223" i="2" s="1"/>
  <c r="P223" i="2"/>
  <c r="R223" i="2"/>
  <c r="N224" i="2"/>
  <c r="P224" i="2"/>
  <c r="M224" i="2" s="1"/>
  <c r="K224" i="2" s="1"/>
  <c r="R224" i="2"/>
  <c r="N225" i="2"/>
  <c r="M225" i="2" s="1"/>
  <c r="K225" i="2" s="1"/>
  <c r="P225" i="2"/>
  <c r="R225" i="2"/>
  <c r="N226" i="2"/>
  <c r="P226" i="2"/>
  <c r="R226" i="2"/>
  <c r="N227" i="2"/>
  <c r="P227" i="2"/>
  <c r="M227" i="2" s="1"/>
  <c r="K227" i="2" s="1"/>
  <c r="R227" i="2"/>
  <c r="R214" i="2"/>
  <c r="P214" i="2"/>
  <c r="N214" i="2"/>
  <c r="N207" i="2"/>
  <c r="P207" i="2"/>
  <c r="R207" i="2"/>
  <c r="N208" i="2"/>
  <c r="P208" i="2"/>
  <c r="R208" i="2"/>
  <c r="N209" i="2"/>
  <c r="M209" i="2" s="1"/>
  <c r="P209" i="2"/>
  <c r="R209" i="2"/>
  <c r="N210" i="2"/>
  <c r="P210" i="2"/>
  <c r="R210" i="2"/>
  <c r="N211" i="2"/>
  <c r="P211" i="2"/>
  <c r="R211" i="2"/>
  <c r="N212" i="2"/>
  <c r="P212" i="2"/>
  <c r="R212" i="2"/>
  <c r="N213" i="2"/>
  <c r="P213" i="2"/>
  <c r="R213" i="2"/>
  <c r="N215" i="2"/>
  <c r="P215" i="2"/>
  <c r="M215" i="2" s="1"/>
  <c r="R215" i="2"/>
  <c r="N216" i="2"/>
  <c r="P216" i="2"/>
  <c r="R216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M181" i="2" s="1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M201" i="2" s="1"/>
  <c r="N202" i="2"/>
  <c r="N203" i="2"/>
  <c r="N204" i="2"/>
  <c r="N205" i="2"/>
  <c r="N206" i="2"/>
  <c r="N29" i="2"/>
  <c r="N30" i="2"/>
  <c r="N31" i="2"/>
  <c r="N32" i="2"/>
  <c r="N33" i="2"/>
  <c r="P31" i="2"/>
  <c r="R206" i="2"/>
  <c r="M206" i="2" s="1"/>
  <c r="P206" i="2"/>
  <c r="P199" i="2"/>
  <c r="R199" i="2"/>
  <c r="P200" i="2"/>
  <c r="R200" i="2"/>
  <c r="P201" i="2"/>
  <c r="R201" i="2"/>
  <c r="M202" i="2"/>
  <c r="P202" i="2"/>
  <c r="R202" i="2"/>
  <c r="P203" i="2"/>
  <c r="M203" i="2" s="1"/>
  <c r="R203" i="2"/>
  <c r="P204" i="2"/>
  <c r="M204" i="2" s="1"/>
  <c r="R204" i="2"/>
  <c r="P205" i="2"/>
  <c r="M205" i="2" s="1"/>
  <c r="R205" i="2"/>
  <c r="R195" i="2"/>
  <c r="R196" i="2"/>
  <c r="R197" i="2"/>
  <c r="R198" i="2"/>
  <c r="R194" i="2"/>
  <c r="P196" i="2"/>
  <c r="M196" i="2" s="1"/>
  <c r="P179" i="2"/>
  <c r="R179" i="2"/>
  <c r="M180" i="2"/>
  <c r="K180" i="2" s="1"/>
  <c r="P180" i="2"/>
  <c r="R180" i="2"/>
  <c r="P181" i="2"/>
  <c r="R181" i="2"/>
  <c r="P182" i="2"/>
  <c r="R182" i="2"/>
  <c r="M182" i="2" s="1"/>
  <c r="P183" i="2"/>
  <c r="R183" i="2"/>
  <c r="P184" i="2"/>
  <c r="R184" i="2"/>
  <c r="P185" i="2"/>
  <c r="R185" i="2"/>
  <c r="P186" i="2"/>
  <c r="R186" i="2"/>
  <c r="P187" i="2"/>
  <c r="M187" i="2" s="1"/>
  <c r="R187" i="2"/>
  <c r="P188" i="2"/>
  <c r="R188" i="2"/>
  <c r="M188" i="2" s="1"/>
  <c r="P189" i="2"/>
  <c r="R189" i="2"/>
  <c r="P190" i="2"/>
  <c r="R190" i="2"/>
  <c r="P191" i="2"/>
  <c r="R191" i="2"/>
  <c r="P192" i="2"/>
  <c r="R192" i="2"/>
  <c r="P193" i="2"/>
  <c r="R193" i="2"/>
  <c r="P194" i="2"/>
  <c r="P195" i="2"/>
  <c r="P197" i="2"/>
  <c r="M197" i="2" s="1"/>
  <c r="P198" i="2"/>
  <c r="M192" i="2" l="1"/>
  <c r="M191" i="2"/>
  <c r="M183" i="2"/>
  <c r="M186" i="2"/>
  <c r="M184" i="2"/>
  <c r="M185" i="2"/>
  <c r="M207" i="2"/>
  <c r="M211" i="2"/>
  <c r="M199" i="2"/>
  <c r="M198" i="2"/>
  <c r="M194" i="2"/>
  <c r="M200" i="2"/>
  <c r="M210" i="2"/>
  <c r="M193" i="2"/>
  <c r="M190" i="2"/>
  <c r="M208" i="2"/>
  <c r="M214" i="2"/>
  <c r="M226" i="2"/>
  <c r="K226" i="2" s="1"/>
  <c r="M222" i="2"/>
  <c r="K222" i="2" s="1"/>
  <c r="M218" i="2"/>
  <c r="K218" i="2" s="1"/>
  <c r="M195" i="2"/>
  <c r="M179" i="2"/>
  <c r="M213" i="2"/>
  <c r="M189" i="2"/>
  <c r="M216" i="2"/>
  <c r="K216" i="2" s="1"/>
  <c r="M221" i="2"/>
  <c r="K221" i="2" s="1"/>
  <c r="M217" i="2"/>
  <c r="K217" i="2" s="1"/>
  <c r="M220" i="2"/>
  <c r="K220" i="2" s="1"/>
  <c r="K219" i="2"/>
  <c r="M212" i="2"/>
  <c r="K179" i="2"/>
  <c r="P163" i="2"/>
  <c r="M163" i="2" s="1"/>
  <c r="K163" i="2" s="1"/>
  <c r="R163" i="2"/>
  <c r="P164" i="2"/>
  <c r="R164" i="2"/>
  <c r="P165" i="2"/>
  <c r="M165" i="2" s="1"/>
  <c r="K165" i="2" s="1"/>
  <c r="R165" i="2"/>
  <c r="P166" i="2"/>
  <c r="R166" i="2"/>
  <c r="P167" i="2"/>
  <c r="R167" i="2"/>
  <c r="P168" i="2"/>
  <c r="R168" i="2"/>
  <c r="P169" i="2"/>
  <c r="M169" i="2" s="1"/>
  <c r="K169" i="2" s="1"/>
  <c r="R169" i="2"/>
  <c r="P170" i="2"/>
  <c r="R170" i="2"/>
  <c r="P171" i="2"/>
  <c r="M171" i="2" s="1"/>
  <c r="K171" i="2" s="1"/>
  <c r="R171" i="2"/>
  <c r="P172" i="2"/>
  <c r="R172" i="2"/>
  <c r="P173" i="2"/>
  <c r="M173" i="2" s="1"/>
  <c r="K173" i="2" s="1"/>
  <c r="R173" i="2"/>
  <c r="P174" i="2"/>
  <c r="R174" i="2"/>
  <c r="P175" i="2"/>
  <c r="M175" i="2" s="1"/>
  <c r="K175" i="2" s="1"/>
  <c r="R175" i="2"/>
  <c r="P176" i="2"/>
  <c r="R176" i="2"/>
  <c r="P177" i="2"/>
  <c r="M177" i="2" s="1"/>
  <c r="K177" i="2" s="1"/>
  <c r="R177" i="2"/>
  <c r="P178" i="2"/>
  <c r="R178" i="2"/>
  <c r="J70" i="8"/>
  <c r="R70" i="8" s="1"/>
  <c r="M70" i="8" s="1"/>
  <c r="J71" i="8"/>
  <c r="J72" i="8"/>
  <c r="R72" i="8" s="1"/>
  <c r="M72" i="8" s="1"/>
  <c r="J73" i="8"/>
  <c r="J74" i="8"/>
  <c r="R74" i="8" s="1"/>
  <c r="M74" i="8" s="1"/>
  <c r="J75" i="8"/>
  <c r="J76" i="8"/>
  <c r="R76" i="8"/>
  <c r="M76" i="8" s="1"/>
  <c r="J77" i="8"/>
  <c r="J78" i="8"/>
  <c r="R78" i="8" s="1"/>
  <c r="M78" i="8" s="1"/>
  <c r="J79" i="8"/>
  <c r="J80" i="8"/>
  <c r="R80" i="8" s="1"/>
  <c r="M80" i="8" s="1"/>
  <c r="J81" i="8"/>
  <c r="J82" i="8"/>
  <c r="R82" i="8" s="1"/>
  <c r="M82" i="8" s="1"/>
  <c r="J83" i="8"/>
  <c r="J84" i="8"/>
  <c r="R84" i="8" s="1"/>
  <c r="M84" i="8" s="1"/>
  <c r="J85" i="8"/>
  <c r="J86" i="8"/>
  <c r="R86" i="8" s="1"/>
  <c r="M86" i="8" s="1"/>
  <c r="J87" i="8"/>
  <c r="H72" i="1"/>
  <c r="H82" i="1"/>
  <c r="H81" i="1"/>
  <c r="H80" i="1"/>
  <c r="H79" i="1"/>
  <c r="H78" i="1"/>
  <c r="H83" i="1"/>
  <c r="H87" i="1"/>
  <c r="V88" i="1"/>
  <c r="V89" i="1"/>
  <c r="H89" i="1" s="1"/>
  <c r="V90" i="1"/>
  <c r="H90" i="1" s="1"/>
  <c r="H84" i="1"/>
  <c r="H85" i="1"/>
  <c r="H86" i="1"/>
  <c r="H88" i="1"/>
  <c r="H68" i="1"/>
  <c r="H69" i="1"/>
  <c r="H70" i="1"/>
  <c r="H71" i="1"/>
  <c r="H73" i="1"/>
  <c r="H74" i="1"/>
  <c r="H75" i="1"/>
  <c r="H76" i="1"/>
  <c r="H77" i="1"/>
  <c r="M178" i="2" l="1"/>
  <c r="K178" i="2" s="1"/>
  <c r="M176" i="2"/>
  <c r="K176" i="2" s="1"/>
  <c r="M174" i="2"/>
  <c r="K174" i="2" s="1"/>
  <c r="M172" i="2"/>
  <c r="K172" i="2" s="1"/>
  <c r="M170" i="2"/>
  <c r="K170" i="2" s="1"/>
  <c r="M168" i="2"/>
  <c r="K168" i="2" s="1"/>
  <c r="M166" i="2"/>
  <c r="K166" i="2" s="1"/>
  <c r="M164" i="2"/>
  <c r="K164" i="2" s="1"/>
  <c r="M167" i="2"/>
  <c r="K167" i="2" s="1"/>
  <c r="R87" i="8"/>
  <c r="M87" i="8" s="1"/>
  <c r="K87" i="8" s="1"/>
  <c r="R85" i="8"/>
  <c r="M85" i="8" s="1"/>
  <c r="K85" i="8" s="1"/>
  <c r="R83" i="8"/>
  <c r="M83" i="8" s="1"/>
  <c r="K83" i="8" s="1"/>
  <c r="R81" i="8"/>
  <c r="M81" i="8" s="1"/>
  <c r="K81" i="8" s="1"/>
  <c r="R79" i="8"/>
  <c r="M79" i="8" s="1"/>
  <c r="K79" i="8" s="1"/>
  <c r="R77" i="8"/>
  <c r="M77" i="8" s="1"/>
  <c r="K77" i="8" s="1"/>
  <c r="R75" i="8"/>
  <c r="M75" i="8" s="1"/>
  <c r="K75" i="8" s="1"/>
  <c r="R73" i="8"/>
  <c r="M73" i="8" s="1"/>
  <c r="K73" i="8" s="1"/>
  <c r="R71" i="8"/>
  <c r="M71" i="8" s="1"/>
  <c r="K71" i="8" s="1"/>
  <c r="K86" i="8"/>
  <c r="K84" i="8"/>
  <c r="K82" i="8"/>
  <c r="K80" i="8"/>
  <c r="K78" i="8"/>
  <c r="K76" i="8"/>
  <c r="K74" i="8"/>
  <c r="K72" i="8"/>
  <c r="K70" i="8"/>
  <c r="P154" i="2"/>
  <c r="R154" i="2"/>
  <c r="P155" i="2"/>
  <c r="R155" i="2"/>
  <c r="P156" i="2"/>
  <c r="R156" i="2"/>
  <c r="P157" i="2"/>
  <c r="R157" i="2"/>
  <c r="P158" i="2"/>
  <c r="R158" i="2"/>
  <c r="P159" i="2"/>
  <c r="R159" i="2"/>
  <c r="P160" i="2"/>
  <c r="R160" i="2"/>
  <c r="P161" i="2"/>
  <c r="R161" i="2"/>
  <c r="P162" i="2"/>
  <c r="R162" i="2"/>
  <c r="M159" i="2" l="1"/>
  <c r="K159" i="2" s="1"/>
  <c r="M155" i="2"/>
  <c r="K155" i="2" s="1"/>
  <c r="M161" i="2"/>
  <c r="K161" i="2" s="1"/>
  <c r="M157" i="2"/>
  <c r="K157" i="2" s="1"/>
  <c r="M158" i="2"/>
  <c r="K158" i="2" s="1"/>
  <c r="M154" i="2"/>
  <c r="K154" i="2" s="1"/>
  <c r="M160" i="2"/>
  <c r="K160" i="2" s="1"/>
  <c r="M156" i="2"/>
  <c r="K156" i="2" s="1"/>
  <c r="M162" i="2"/>
  <c r="H67" i="1"/>
  <c r="H66" i="1"/>
  <c r="H65" i="1"/>
  <c r="H64" i="1"/>
  <c r="H63" i="1"/>
  <c r="H62" i="1"/>
  <c r="H61" i="1"/>
  <c r="H60" i="1"/>
  <c r="H59" i="1"/>
  <c r="H58" i="1"/>
  <c r="K162" i="2" l="1"/>
  <c r="H57" i="1"/>
  <c r="H44" i="1"/>
  <c r="P133" i="2"/>
  <c r="R133" i="2"/>
  <c r="P134" i="2"/>
  <c r="R134" i="2"/>
  <c r="P135" i="2"/>
  <c r="R135" i="2"/>
  <c r="P136" i="2"/>
  <c r="R136" i="2"/>
  <c r="P137" i="2"/>
  <c r="R137" i="2"/>
  <c r="P138" i="2"/>
  <c r="R138" i="2"/>
  <c r="P139" i="2"/>
  <c r="R139" i="2"/>
  <c r="P140" i="2"/>
  <c r="R140" i="2"/>
  <c r="P141" i="2"/>
  <c r="R141" i="2"/>
  <c r="P142" i="2"/>
  <c r="R142" i="2"/>
  <c r="P143" i="2"/>
  <c r="R143" i="2"/>
  <c r="P144" i="2"/>
  <c r="R144" i="2"/>
  <c r="P145" i="2"/>
  <c r="R145" i="2"/>
  <c r="P146" i="2"/>
  <c r="R146" i="2"/>
  <c r="P147" i="2"/>
  <c r="R147" i="2"/>
  <c r="P148" i="2"/>
  <c r="R148" i="2"/>
  <c r="P149" i="2"/>
  <c r="R149" i="2"/>
  <c r="P150" i="2"/>
  <c r="R150" i="2"/>
  <c r="P151" i="2"/>
  <c r="R151" i="2"/>
  <c r="P152" i="2"/>
  <c r="R152" i="2"/>
  <c r="P153" i="2"/>
  <c r="R153" i="2"/>
  <c r="J56" i="8"/>
  <c r="J57" i="8"/>
  <c r="R57" i="8" s="1"/>
  <c r="M57" i="8" s="1"/>
  <c r="K57" i="8" s="1"/>
  <c r="J58" i="8"/>
  <c r="R58" i="8" s="1"/>
  <c r="M58" i="8" s="1"/>
  <c r="K58" i="8" s="1"/>
  <c r="J59" i="8"/>
  <c r="R59" i="8" s="1"/>
  <c r="M59" i="8" s="1"/>
  <c r="K59" i="8" s="1"/>
  <c r="J60" i="8"/>
  <c r="R60" i="8" s="1"/>
  <c r="M60" i="8" s="1"/>
  <c r="K60" i="8" s="1"/>
  <c r="J61" i="8"/>
  <c r="R61" i="8" s="1"/>
  <c r="M61" i="8" s="1"/>
  <c r="K61" i="8" s="1"/>
  <c r="J62" i="8"/>
  <c r="R62" i="8" s="1"/>
  <c r="M62" i="8" s="1"/>
  <c r="K62" i="8" s="1"/>
  <c r="J63" i="8"/>
  <c r="R63" i="8" s="1"/>
  <c r="M63" i="8" s="1"/>
  <c r="K63" i="8" s="1"/>
  <c r="J64" i="8"/>
  <c r="R64" i="8" s="1"/>
  <c r="M64" i="8" s="1"/>
  <c r="K64" i="8" s="1"/>
  <c r="J65" i="8"/>
  <c r="R65" i="8" s="1"/>
  <c r="M65" i="8" s="1"/>
  <c r="K65" i="8" s="1"/>
  <c r="J66" i="8"/>
  <c r="R66" i="8" s="1"/>
  <c r="M66" i="8" s="1"/>
  <c r="K66" i="8" s="1"/>
  <c r="J67" i="8"/>
  <c r="R67" i="8" s="1"/>
  <c r="M67" i="8" s="1"/>
  <c r="K67" i="8" s="1"/>
  <c r="J68" i="8"/>
  <c r="R68" i="8" s="1"/>
  <c r="M68" i="8" s="1"/>
  <c r="K68" i="8" s="1"/>
  <c r="J69" i="8"/>
  <c r="R69" i="8" s="1"/>
  <c r="M69" i="8" s="1"/>
  <c r="K69" i="8" s="1"/>
  <c r="M152" i="2" l="1"/>
  <c r="K152" i="2" s="1"/>
  <c r="M148" i="2"/>
  <c r="K148" i="2" s="1"/>
  <c r="M147" i="2"/>
  <c r="K147" i="2" s="1"/>
  <c r="M150" i="2"/>
  <c r="K150" i="2" s="1"/>
  <c r="M153" i="2"/>
  <c r="M145" i="2"/>
  <c r="K145" i="2" s="1"/>
  <c r="M146" i="2"/>
  <c r="K146" i="2" s="1"/>
  <c r="R56" i="8"/>
  <c r="M56" i="8" s="1"/>
  <c r="K56" i="8" s="1"/>
  <c r="M151" i="2"/>
  <c r="K151" i="2" s="1"/>
  <c r="M149" i="2"/>
  <c r="K149" i="2" s="1"/>
  <c r="M138" i="2"/>
  <c r="K138" i="2" s="1"/>
  <c r="M144" i="2"/>
  <c r="K144" i="2" s="1"/>
  <c r="M142" i="2"/>
  <c r="K142" i="2" s="1"/>
  <c r="M140" i="2"/>
  <c r="K140" i="2" s="1"/>
  <c r="M136" i="2"/>
  <c r="K136" i="2" s="1"/>
  <c r="M134" i="2"/>
  <c r="K134" i="2" s="1"/>
  <c r="M143" i="2"/>
  <c r="K143" i="2" s="1"/>
  <c r="M141" i="2"/>
  <c r="K141" i="2" s="1"/>
  <c r="M139" i="2"/>
  <c r="K139" i="2" s="1"/>
  <c r="M137" i="2"/>
  <c r="K137" i="2" s="1"/>
  <c r="M135" i="2"/>
  <c r="K135" i="2" s="1"/>
  <c r="M133" i="2"/>
  <c r="K133" i="2" s="1"/>
  <c r="K153" i="2" l="1"/>
  <c r="P115" i="2"/>
  <c r="R115" i="2"/>
  <c r="P116" i="2"/>
  <c r="R116" i="2"/>
  <c r="P117" i="2"/>
  <c r="R117" i="2"/>
  <c r="P118" i="2"/>
  <c r="R118" i="2"/>
  <c r="P119" i="2"/>
  <c r="R119" i="2"/>
  <c r="P120" i="2"/>
  <c r="R120" i="2"/>
  <c r="P121" i="2"/>
  <c r="R121" i="2"/>
  <c r="P122" i="2"/>
  <c r="R122" i="2"/>
  <c r="P123" i="2"/>
  <c r="R123" i="2"/>
  <c r="P124" i="2"/>
  <c r="R124" i="2"/>
  <c r="P125" i="2"/>
  <c r="R125" i="2"/>
  <c r="P126" i="2"/>
  <c r="R126" i="2"/>
  <c r="P127" i="2"/>
  <c r="R127" i="2"/>
  <c r="P128" i="2"/>
  <c r="R128" i="2"/>
  <c r="P129" i="2"/>
  <c r="R129" i="2"/>
  <c r="M129" i="2" s="1"/>
  <c r="K129" i="2" s="1"/>
  <c r="M130" i="2"/>
  <c r="K130" i="2" s="1"/>
  <c r="P130" i="2"/>
  <c r="R130" i="2"/>
  <c r="P131" i="2"/>
  <c r="R131" i="2"/>
  <c r="P132" i="2"/>
  <c r="R132" i="2"/>
  <c r="M132" i="2" s="1"/>
  <c r="K132" i="2" s="1"/>
  <c r="M121" i="2" l="1"/>
  <c r="K121" i="2" s="1"/>
  <c r="M124" i="2"/>
  <c r="K124" i="2" s="1"/>
  <c r="M128" i="2"/>
  <c r="K128" i="2" s="1"/>
  <c r="M120" i="2"/>
  <c r="K120" i="2" s="1"/>
  <c r="M119" i="2"/>
  <c r="K119" i="2" s="1"/>
  <c r="M115" i="2"/>
  <c r="K115" i="2" s="1"/>
  <c r="M122" i="2"/>
  <c r="K122" i="2" s="1"/>
  <c r="M127" i="2"/>
  <c r="K127" i="2" s="1"/>
  <c r="M118" i="2"/>
  <c r="K118" i="2" s="1"/>
  <c r="M116" i="2"/>
  <c r="K116" i="2" s="1"/>
  <c r="M126" i="2"/>
  <c r="K126" i="2" s="1"/>
  <c r="M125" i="2"/>
  <c r="K125" i="2" s="1"/>
  <c r="M123" i="2"/>
  <c r="K123" i="2" s="1"/>
  <c r="M117" i="2"/>
  <c r="K117" i="2" s="1"/>
  <c r="M131" i="2"/>
  <c r="P112" i="2"/>
  <c r="R112" i="2"/>
  <c r="P113" i="2"/>
  <c r="R113" i="2"/>
  <c r="P114" i="2"/>
  <c r="R114" i="2"/>
  <c r="H230" i="2"/>
  <c r="R111" i="2"/>
  <c r="P111" i="2"/>
  <c r="M111" i="2" s="1"/>
  <c r="K111" i="2" s="1"/>
  <c r="R108" i="2"/>
  <c r="P108" i="2"/>
  <c r="R107" i="2"/>
  <c r="P107" i="2"/>
  <c r="M107" i="2" s="1"/>
  <c r="K107" i="2" s="1"/>
  <c r="R106" i="2"/>
  <c r="P106" i="2"/>
  <c r="M106" i="2" s="1"/>
  <c r="K106" i="2" s="1"/>
  <c r="R105" i="2"/>
  <c r="P105" i="2"/>
  <c r="P109" i="2"/>
  <c r="R109" i="2"/>
  <c r="P110" i="2"/>
  <c r="R110" i="2"/>
  <c r="M110" i="2" l="1"/>
  <c r="K110" i="2" s="1"/>
  <c r="M114" i="2"/>
  <c r="K114" i="2" s="1"/>
  <c r="M112" i="2"/>
  <c r="K112" i="2" s="1"/>
  <c r="K131" i="2"/>
  <c r="M113" i="2"/>
  <c r="K113" i="2" s="1"/>
  <c r="M109" i="2"/>
  <c r="K109" i="2" s="1"/>
  <c r="M105" i="2"/>
  <c r="M108" i="2"/>
  <c r="K108" i="2" s="1"/>
  <c r="J50" i="8"/>
  <c r="R50" i="8" s="1"/>
  <c r="M50" i="8" s="1"/>
  <c r="J51" i="8"/>
  <c r="R51" i="8" s="1"/>
  <c r="M51" i="8" s="1"/>
  <c r="J52" i="8"/>
  <c r="R52" i="8" s="1"/>
  <c r="M52" i="8" s="1"/>
  <c r="J53" i="8"/>
  <c r="R53" i="8" s="1"/>
  <c r="M53" i="8" s="1"/>
  <c r="J54" i="8"/>
  <c r="R54" i="8" s="1"/>
  <c r="M54" i="8" s="1"/>
  <c r="J55" i="8"/>
  <c r="R104" i="2"/>
  <c r="P104" i="2"/>
  <c r="R103" i="2"/>
  <c r="P103" i="2"/>
  <c r="R102" i="2"/>
  <c r="P102" i="2"/>
  <c r="M102" i="2" s="1"/>
  <c r="K102" i="2" s="1"/>
  <c r="R101" i="2"/>
  <c r="P101" i="2"/>
  <c r="P97" i="2"/>
  <c r="R97" i="2"/>
  <c r="P98" i="2"/>
  <c r="R98" i="2"/>
  <c r="P99" i="2"/>
  <c r="R99" i="2"/>
  <c r="P100" i="2"/>
  <c r="R100" i="2"/>
  <c r="AM82" i="2"/>
  <c r="AK82" i="2"/>
  <c r="AH82" i="2" s="1"/>
  <c r="AF82" i="2" s="1"/>
  <c r="AM81" i="2"/>
  <c r="AK81" i="2"/>
  <c r="M104" i="2" l="1"/>
  <c r="K104" i="2" s="1"/>
  <c r="K105" i="2"/>
  <c r="AH81" i="2"/>
  <c r="AF81" i="2" s="1"/>
  <c r="M100" i="2"/>
  <c r="K100" i="2" s="1"/>
  <c r="M98" i="2"/>
  <c r="K98" i="2" s="1"/>
  <c r="M101" i="2"/>
  <c r="K101" i="2" s="1"/>
  <c r="R55" i="8"/>
  <c r="M99" i="2"/>
  <c r="K99" i="2" s="1"/>
  <c r="M97" i="2"/>
  <c r="K97" i="2" s="1"/>
  <c r="M103" i="2"/>
  <c r="K103" i="2" s="1"/>
  <c r="K51" i="8"/>
  <c r="K54" i="8"/>
  <c r="K52" i="8"/>
  <c r="K50" i="8"/>
  <c r="K53" i="8"/>
  <c r="P89" i="2"/>
  <c r="R89" i="2"/>
  <c r="P90" i="2"/>
  <c r="R90" i="2"/>
  <c r="P91" i="2"/>
  <c r="R91" i="2"/>
  <c r="P92" i="2"/>
  <c r="R92" i="2"/>
  <c r="P93" i="2"/>
  <c r="R93" i="2"/>
  <c r="P94" i="2"/>
  <c r="R94" i="2"/>
  <c r="P95" i="2"/>
  <c r="R95" i="2"/>
  <c r="P85" i="2"/>
  <c r="R85" i="2"/>
  <c r="P86" i="2"/>
  <c r="R86" i="2"/>
  <c r="P87" i="2"/>
  <c r="R87" i="2"/>
  <c r="P88" i="2"/>
  <c r="R88" i="2"/>
  <c r="M55" i="8" l="1"/>
  <c r="K55" i="8" s="1"/>
  <c r="M87" i="2"/>
  <c r="K87" i="2" s="1"/>
  <c r="M85" i="2"/>
  <c r="K85" i="2" s="1"/>
  <c r="M94" i="2"/>
  <c r="K94" i="2" s="1"/>
  <c r="M92" i="2"/>
  <c r="K92" i="2" s="1"/>
  <c r="M90" i="2"/>
  <c r="K90" i="2" s="1"/>
  <c r="M86" i="2"/>
  <c r="K86" i="2" s="1"/>
  <c r="M93" i="2"/>
  <c r="K93" i="2" s="1"/>
  <c r="M95" i="2"/>
  <c r="M89" i="2"/>
  <c r="K89" i="2" s="1"/>
  <c r="M88" i="2"/>
  <c r="K88" i="2" s="1"/>
  <c r="M91" i="2"/>
  <c r="K91" i="2" s="1"/>
  <c r="J43" i="8"/>
  <c r="J45" i="8"/>
  <c r="R45" i="8" s="1"/>
  <c r="M45" i="8" s="1"/>
  <c r="K45" i="8" s="1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K49" i="8" s="1"/>
  <c r="J44" i="8"/>
  <c r="R44" i="8" s="1"/>
  <c r="M44" i="8" s="1"/>
  <c r="P76" i="2"/>
  <c r="R76" i="2"/>
  <c r="P77" i="2"/>
  <c r="R77" i="2"/>
  <c r="P78" i="2"/>
  <c r="R78" i="2"/>
  <c r="P79" i="2"/>
  <c r="R79" i="2"/>
  <c r="P80" i="2"/>
  <c r="R80" i="2"/>
  <c r="P81" i="2"/>
  <c r="R81" i="2"/>
  <c r="P82" i="2"/>
  <c r="R82" i="2"/>
  <c r="P83" i="2"/>
  <c r="R83" i="2"/>
  <c r="P84" i="2"/>
  <c r="R84" i="2"/>
  <c r="P96" i="2"/>
  <c r="R96" i="2"/>
  <c r="P75" i="2"/>
  <c r="R75" i="2"/>
  <c r="P61" i="2"/>
  <c r="R61" i="2"/>
  <c r="P62" i="2"/>
  <c r="R62" i="2"/>
  <c r="P63" i="2"/>
  <c r="R63" i="2"/>
  <c r="P64" i="2"/>
  <c r="R64" i="2"/>
  <c r="P65" i="2"/>
  <c r="R65" i="2"/>
  <c r="P66" i="2"/>
  <c r="R66" i="2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P59" i="2"/>
  <c r="R59" i="2"/>
  <c r="P60" i="2"/>
  <c r="R60" i="2"/>
  <c r="K95" i="2" l="1"/>
  <c r="M74" i="2"/>
  <c r="K74" i="2" s="1"/>
  <c r="M68" i="2"/>
  <c r="K68" i="2" s="1"/>
  <c r="M66" i="2"/>
  <c r="K66" i="2" s="1"/>
  <c r="M64" i="2"/>
  <c r="K64" i="2" s="1"/>
  <c r="M75" i="2"/>
  <c r="K75" i="2" s="1"/>
  <c r="M96" i="2"/>
  <c r="K96" i="2" s="1"/>
  <c r="M84" i="2"/>
  <c r="M82" i="2"/>
  <c r="K82" i="2" s="1"/>
  <c r="M80" i="2"/>
  <c r="K80" i="2" s="1"/>
  <c r="M78" i="2"/>
  <c r="K78" i="2" s="1"/>
  <c r="M72" i="2"/>
  <c r="M62" i="2"/>
  <c r="K62" i="2" s="1"/>
  <c r="M83" i="2"/>
  <c r="M81" i="2"/>
  <c r="K81" i="2" s="1"/>
  <c r="M79" i="2"/>
  <c r="K79" i="2" s="1"/>
  <c r="M77" i="2"/>
  <c r="K77" i="2" s="1"/>
  <c r="R43" i="8"/>
  <c r="M43" i="8" s="1"/>
  <c r="K43" i="8" s="1"/>
  <c r="K44" i="8"/>
  <c r="M76" i="2"/>
  <c r="K76" i="2" s="1"/>
  <c r="M60" i="2"/>
  <c r="K60" i="2" s="1"/>
  <c r="M73" i="2"/>
  <c r="K73" i="2" s="1"/>
  <c r="M71" i="2"/>
  <c r="K71" i="2" s="1"/>
  <c r="M67" i="2"/>
  <c r="K67" i="2" s="1"/>
  <c r="M65" i="2"/>
  <c r="M63" i="2"/>
  <c r="K63" i="2" s="1"/>
  <c r="M61" i="2"/>
  <c r="K61" i="2" s="1"/>
  <c r="M59" i="2"/>
  <c r="K59" i="2" s="1"/>
  <c r="M70" i="2"/>
  <c r="M69" i="2"/>
  <c r="K69" i="2" s="1"/>
  <c r="P52" i="2" l="1"/>
  <c r="R52" i="2"/>
  <c r="P53" i="2"/>
  <c r="R53" i="2"/>
  <c r="P54" i="2"/>
  <c r="R54" i="2"/>
  <c r="P55" i="2"/>
  <c r="R55" i="2"/>
  <c r="P56" i="2"/>
  <c r="R56" i="2"/>
  <c r="P57" i="2"/>
  <c r="R57" i="2"/>
  <c r="P58" i="2"/>
  <c r="R58" i="2"/>
  <c r="M57" i="2" l="1"/>
  <c r="K57" i="2" s="1"/>
  <c r="M55" i="2"/>
  <c r="K55" i="2" s="1"/>
  <c r="M58" i="2"/>
  <c r="K58" i="2" s="1"/>
  <c r="M56" i="2"/>
  <c r="K56" i="2" s="1"/>
  <c r="M54" i="2"/>
  <c r="M52" i="2"/>
  <c r="K52" i="2" s="1"/>
  <c r="M53" i="2"/>
  <c r="K53" i="2" s="1"/>
  <c r="R33" i="2"/>
  <c r="P46" i="2" l="1"/>
  <c r="R46" i="2"/>
  <c r="P37" i="2"/>
  <c r="R37" i="2"/>
  <c r="P35" i="2"/>
  <c r="M46" i="2" l="1"/>
  <c r="K46" i="2" s="1"/>
  <c r="M37" i="2"/>
  <c r="K37" i="2" s="1"/>
  <c r="J36" i="8" l="1"/>
  <c r="R36" i="8" s="1"/>
  <c r="M36" i="8" s="1"/>
  <c r="K36" i="8" l="1"/>
  <c r="J30" i="8"/>
  <c r="J31" i="8" l="1"/>
  <c r="P42" i="2" l="1"/>
  <c r="R42" i="2"/>
  <c r="M42" i="2" l="1"/>
  <c r="K42" i="2" s="1"/>
  <c r="P50" i="2" l="1"/>
  <c r="R50" i="2"/>
  <c r="P41" i="2"/>
  <c r="R41" i="2"/>
  <c r="R29" i="2"/>
  <c r="M50" i="2" l="1"/>
  <c r="K50" i="2" s="1"/>
  <c r="M41" i="2"/>
  <c r="K41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R32" i="8" l="1"/>
  <c r="M32" i="8" s="1"/>
  <c r="K32" i="8" s="1"/>
  <c r="R30" i="8"/>
  <c r="M30" i="8" s="1"/>
  <c r="K30" i="8" s="1"/>
  <c r="R35" i="2" l="1"/>
  <c r="P36" i="2"/>
  <c r="R36" i="2"/>
  <c r="P38" i="2"/>
  <c r="R38" i="2"/>
  <c r="P39" i="2"/>
  <c r="R39" i="2"/>
  <c r="P40" i="2"/>
  <c r="R40" i="2"/>
  <c r="P43" i="2"/>
  <c r="R43" i="2"/>
  <c r="P44" i="2"/>
  <c r="R44" i="2"/>
  <c r="P45" i="2"/>
  <c r="R45" i="2"/>
  <c r="P47" i="2"/>
  <c r="R47" i="2"/>
  <c r="P48" i="2"/>
  <c r="R48" i="2"/>
  <c r="P49" i="2"/>
  <c r="R49" i="2"/>
  <c r="P51" i="2"/>
  <c r="R51" i="2"/>
  <c r="U29" i="1"/>
  <c r="M43" i="2" l="1"/>
  <c r="K43" i="2" s="1"/>
  <c r="M38" i="2"/>
  <c r="K38" i="2" s="1"/>
  <c r="M35" i="2"/>
  <c r="K35" i="2" s="1"/>
  <c r="M51" i="2"/>
  <c r="K51" i="2" s="1"/>
  <c r="M47" i="2"/>
  <c r="K47" i="2" s="1"/>
  <c r="M36" i="2"/>
  <c r="K36" i="2" s="1"/>
  <c r="M44" i="2"/>
  <c r="K44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R29" i="8" l="1"/>
  <c r="R88" i="8" s="1"/>
  <c r="K38" i="4"/>
  <c r="H38" i="4" s="1"/>
  <c r="H61" i="4" s="1"/>
  <c r="C54" i="5"/>
  <c r="C38" i="5" s="1"/>
  <c r="M29" i="8" l="1"/>
  <c r="K29" i="8" s="1"/>
  <c r="D54" i="5"/>
  <c r="X93" i="1"/>
  <c r="W93" i="1"/>
  <c r="J6" i="4" l="1"/>
  <c r="N5" i="3"/>
  <c r="B14" i="5"/>
  <c r="B8" i="5"/>
  <c r="R30" i="2"/>
  <c r="R31" i="2"/>
  <c r="R32" i="2"/>
  <c r="R34" i="2"/>
  <c r="P33" i="2"/>
  <c r="P34" i="2"/>
  <c r="M33" i="2" l="1"/>
  <c r="K33" i="2" s="1"/>
  <c r="M34" i="2"/>
  <c r="K34" i="2" s="1"/>
  <c r="P29" i="2"/>
  <c r="P32" i="2"/>
  <c r="M29" i="2" l="1"/>
  <c r="M32" i="2"/>
  <c r="K32" i="2" s="1"/>
  <c r="K29" i="2" l="1"/>
  <c r="P30" i="2"/>
  <c r="M30" i="2" l="1"/>
  <c r="C47" i="5"/>
  <c r="M31" i="2"/>
  <c r="C46" i="5"/>
  <c r="D46" i="5" s="1"/>
  <c r="G6" i="4"/>
  <c r="G8" i="4"/>
  <c r="G11" i="4"/>
  <c r="G13" i="4"/>
  <c r="C45" i="5"/>
  <c r="D45" i="5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L230" i="2" l="1"/>
  <c r="C44" i="5"/>
  <c r="B255" i="6"/>
  <c r="B258" i="6" s="1"/>
  <c r="D47" i="5"/>
  <c r="F61" i="4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B78" i="6"/>
  <c r="R23" i="2" s="1"/>
  <c r="P23" i="2"/>
  <c r="H43" i="1" l="1"/>
  <c r="H47" i="1"/>
  <c r="H46" i="1"/>
  <c r="H52" i="1"/>
  <c r="H56" i="1"/>
  <c r="H50" i="1"/>
  <c r="H53" i="1"/>
  <c r="H55" i="1"/>
  <c r="H49" i="1"/>
  <c r="H48" i="1"/>
  <c r="H54" i="1"/>
  <c r="V91" i="1"/>
  <c r="H91" i="1" s="1"/>
  <c r="H51" i="1" l="1"/>
  <c r="H42" i="1"/>
  <c r="U37" i="1"/>
  <c r="H37" i="1" s="1"/>
  <c r="U38" i="1"/>
  <c r="H38" i="1" s="1"/>
  <c r="H41" i="1"/>
  <c r="U40" i="1"/>
  <c r="H40" i="1" s="1"/>
  <c r="U39" i="1"/>
  <c r="H39" i="1" s="1"/>
  <c r="H32" i="1"/>
  <c r="H93" i="1" s="1"/>
  <c r="H35" i="1"/>
  <c r="U36" i="1"/>
  <c r="H36" i="1" s="1"/>
  <c r="H34" i="1"/>
  <c r="C30" i="5"/>
  <c r="C28" i="5" s="1"/>
  <c r="C16" i="5" s="1"/>
  <c r="H33" i="1"/>
  <c r="D30" i="5"/>
  <c r="D28" i="5" l="1"/>
  <c r="D60" i="5" s="1"/>
  <c r="D62" i="5" s="1"/>
  <c r="H45" i="5"/>
</calcChain>
</file>

<file path=xl/sharedStrings.xml><?xml version="1.0" encoding="utf-8"?>
<sst xmlns="http://schemas.openxmlformats.org/spreadsheetml/2006/main" count="1070" uniqueCount="707">
  <si>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</si>
  <si>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</si>
  <si>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</si>
  <si>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</si>
  <si>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</si>
  <si>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</si>
  <si>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</si>
  <si>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</si>
  <si>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</si>
  <si>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</si>
  <si>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</si>
  <si>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</si>
  <si>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</si>
  <si>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</si>
  <si>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</si>
  <si>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</si>
  <si>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</si>
  <si>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</si>
  <si>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</si>
  <si>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</si>
  <si>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</si>
  <si>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</si>
  <si>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</si>
  <si>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</si>
  <si>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</si>
  <si>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</si>
  <si>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</si>
  <si>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</si>
  <si>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</si>
  <si>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</si>
  <si>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</si>
  <si>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</si>
  <si>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</si>
  <si>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</si>
  <si>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</si>
  <si>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</si>
  <si>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</si>
  <si>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</si>
  <si>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</si>
  <si>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</si>
  <si>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</si>
  <si>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</si>
  <si>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</si>
  <si>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</si>
  <si>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</si>
  <si>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</si>
  <si>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</si>
  <si>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</si>
  <si>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</si>
  <si>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</si>
  <si>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</si>
  <si>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</si>
  <si>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</si>
  <si>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</si>
  <si>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</si>
  <si>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</si>
  <si>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</si>
  <si>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</si>
  <si>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</si>
  <si>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</si>
  <si>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</si>
  <si>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</si>
  <si>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</si>
  <si>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</si>
  <si>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</si>
  <si>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</si>
  <si>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</si>
  <si>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</si>
  <si>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</si>
  <si>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</si>
  <si>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</si>
  <si>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</si>
  <si>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</si>
  <si>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</si>
  <si>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</si>
  <si>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</si>
  <si>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</si>
  <si>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</si>
  <si>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</si>
  <si>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</si>
  <si>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</si>
  <si>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</si>
  <si>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</si>
  <si>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</si>
  <si>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</si>
  <si>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</si>
  <si>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</si>
  <si>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</si>
  <si>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</si>
  <si>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</si>
  <si>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</si>
  <si>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</si>
  <si>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</si>
  <si>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</si>
  <si>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</si>
  <si>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</si>
  <si>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</si>
  <si>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</si>
  <si>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</si>
  <si>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</si>
  <si>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</si>
  <si>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</si>
  <si>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</si>
  <si>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</si>
  <si>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</si>
  <si>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</si>
  <si>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</si>
  <si>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</si>
  <si>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</si>
  <si>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</si>
  <si>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</si>
  <si>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</si>
  <si>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</si>
  <si>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</si>
  <si>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</si>
  <si>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</si>
  <si>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</si>
  <si>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</si>
  <si>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</si>
  <si>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</si>
  <si>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</si>
  <si>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</si>
  <si>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</si>
  <si>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</si>
  <si>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</si>
  <si>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</si>
  <si>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</si>
  <si>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</si>
  <si>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</si>
  <si>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</si>
  <si>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</si>
  <si>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</si>
  <si>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</si>
  <si>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</si>
  <si>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</si>
  <si>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</si>
  <si>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</si>
  <si>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</si>
  <si>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</si>
  <si>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</si>
  <si>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</si>
  <si>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</si>
  <si>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</si>
  <si>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</si>
  <si>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</si>
  <si>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</si>
  <si>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</si>
  <si>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</si>
  <si>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</si>
  <si>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</si>
  <si>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</si>
  <si>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</si>
  <si>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</si>
  <si>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</si>
  <si>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</si>
  <si>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</si>
  <si>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</si>
  <si>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</si>
  <si>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</si>
  <si>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</si>
  <si>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</si>
  <si>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</si>
  <si>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</si>
  <si>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</si>
  <si>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</si>
  <si>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</si>
  <si>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</si>
  <si>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</si>
  <si>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</si>
  <si>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</si>
  <si>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</si>
  <si>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</si>
  <si>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</si>
  <si>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</si>
  <si>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</si>
  <si>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</si>
  <si>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</si>
  <si>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</si>
  <si>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</si>
  <si>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</si>
  <si>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</si>
  <si>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</si>
  <si>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</si>
  <si>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</si>
  <si>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</si>
  <si>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</si>
  <si>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</si>
  <si>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</si>
  <si>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</si>
  <si>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</si>
  <si>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</si>
  <si>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</si>
  <si>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</si>
  <si>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</si>
  <si>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</si>
  <si>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</si>
  <si>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</si>
  <si>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</si>
  <si>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</si>
  <si>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</si>
  <si>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</si>
  <si>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</si>
  <si>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</si>
  <si>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</si>
  <si>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</si>
  <si>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</si>
  <si>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</si>
  <si>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</si>
  <si>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</si>
  <si>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</si>
  <si>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</si>
  <si>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</si>
  <si>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</si>
  <si>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</si>
  <si>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</si>
  <si>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</si>
  <si>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</si>
  <si>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</si>
  <si>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</si>
  <si>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</si>
  <si>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</si>
  <si>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</si>
  <si>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</si>
  <si>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</si>
  <si>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</si>
  <si>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</si>
  <si>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</si>
  <si>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</si>
  <si>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</si>
  <si>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</si>
  <si>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</si>
  <si>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</si>
  <si>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</si>
  <si>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</si>
  <si>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</si>
  <si>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</si>
  <si>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</si>
  <si>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</si>
  <si>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</si>
  <si>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</si>
  <si>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</si>
  <si>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</si>
  <si>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</si>
  <si>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</si>
  <si>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</si>
  <si>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</si>
  <si>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</si>
  <si>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</si>
  <si>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</si>
  <si>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</si>
  <si>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</si>
  <si>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</si>
  <si>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</si>
  <si>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</si>
  <si>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</si>
  <si>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</si>
  <si>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</si>
  <si>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</si>
  <si>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</si>
  <si>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</si>
  <si>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</si>
  <si>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</si>
  <si>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</si>
  <si>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</si>
  <si>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</si>
  <si>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</si>
  <si>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</si>
  <si>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</si>
  <si>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</si>
  <si>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</si>
  <si>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</si>
  <si>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</si>
  <si>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</si>
  <si>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</si>
  <si>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</si>
  <si>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</si>
  <si>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</si>
  <si>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</si>
  <si>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</si>
  <si>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</si>
  <si>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</si>
  <si>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</si>
  <si>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</si>
  <si>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</si>
  <si>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</si>
  <si>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</si>
  <si>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</si>
  <si>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</si>
  <si>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</si>
  <si>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</si>
  <si>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</si>
  <si>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</si>
  <si>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</si>
  <si>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</si>
  <si>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</si>
  <si>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</si>
  <si>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</si>
  <si>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</si>
  <si>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</si>
  <si>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</si>
  <si>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</si>
  <si>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</si>
  <si>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</si>
  <si>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</si>
  <si>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</si>
  <si>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</si>
  <si>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</si>
  <si>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</si>
  <si>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</si>
  <si>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</si>
  <si>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</si>
  <si>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</si>
  <si>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</si>
  <si>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</si>
  <si>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</si>
  <si>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</si>
  <si>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</si>
  <si>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</si>
  <si>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</si>
  <si>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</si>
  <si>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</si>
  <si>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</si>
  <si>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</si>
  <si>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</si>
  <si>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</si>
  <si>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</si>
  <si>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</si>
  <si>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</si>
  <si>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</si>
  <si>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</si>
  <si>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</si>
  <si>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</si>
  <si>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</si>
  <si>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</si>
  <si>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</si>
  <si>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</si>
  <si>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</si>
  <si>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</si>
  <si>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</si>
  <si>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</si>
  <si>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</si>
  <si>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</si>
  <si>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</si>
  <si>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</si>
  <si>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</si>
  <si>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</si>
  <si>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</si>
  <si>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</si>
  <si>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</si>
  <si>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</si>
  <si>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</si>
  <si>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</si>
  <si>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</si>
  <si>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</si>
  <si>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</si>
  <si>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</si>
  <si>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</si>
  <si>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</si>
  <si>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</si>
  <si>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</si>
  <si>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</si>
  <si>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</si>
  <si>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</si>
  <si>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</si>
  <si>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</si>
  <si>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</si>
  <si>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</si>
  <si>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</si>
  <si>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</si>
  <si>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</si>
  <si>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</si>
  <si>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</si>
  <si>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</si>
  <si>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</si>
  <si>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</si>
  <si>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</si>
  <si>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</si>
  <si>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</si>
  <si>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</si>
  <si>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</si>
  <si>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</si>
  <si>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</si>
  <si>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</si>
  <si>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</si>
  <si>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</si>
  <si>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</si>
  <si>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</si>
  <si>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</si>
  <si>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</si>
  <si>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</si>
  <si>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</si>
  <si>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</si>
  <si>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</si>
  <si>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</si>
  <si>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</si>
  <si>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</si>
  <si>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</si>
  <si>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</si>
  <si>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</si>
  <si>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</si>
  <si>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</si>
  <si>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</si>
  <si>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</si>
  <si>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</si>
  <si>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</si>
  <si>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</si>
  <si>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</si>
  <si>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</si>
  <si>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</si>
  <si>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</si>
  <si>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</si>
  <si>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</si>
  <si>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</si>
  <si>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</si>
  <si>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</si>
  <si>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</si>
  <si>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</si>
  <si>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</si>
  <si>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</si>
  <si>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</si>
  <si>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</si>
  <si>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</si>
  <si>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</si>
  <si>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</si>
  <si>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</si>
  <si>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</si>
  <si>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</si>
  <si>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</si>
  <si>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</si>
  <si>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</si>
  <si>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</si>
  <si>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</si>
  <si>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</si>
  <si>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</si>
  <si>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</si>
  <si>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</si>
  <si>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</si>
  <si>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</si>
  <si>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</si>
  <si>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</si>
  <si>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</si>
  <si>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</si>
  <si>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</si>
  <si>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</si>
  <si>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</si>
  <si>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</si>
  <si>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</si>
  <si>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</si>
  <si>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</si>
  <si>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</si>
  <si>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</si>
  <si>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</si>
  <si>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</si>
  <si>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</si>
  <si>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</si>
  <si>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</si>
  <si>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</si>
  <si>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</si>
  <si>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</si>
  <si>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</si>
  <si>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</si>
  <si>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</si>
  <si>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</si>
  <si>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</si>
  <si>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</si>
  <si>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</si>
  <si>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</si>
  <si>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</si>
  <si>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</si>
  <si>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</si>
  <si>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</si>
  <si>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</si>
  <si>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</si>
  <si>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</si>
  <si>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</si>
  <si>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</si>
  <si>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</si>
  <si>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</si>
  <si>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</si>
  <si>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</si>
  <si>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</si>
  <si>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</si>
  <si>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</si>
  <si>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</si>
  <si>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</si>
  <si>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</si>
  <si>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</si>
  <si>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</si>
  <si>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</si>
  <si>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</si>
  <si>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</si>
  <si>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</si>
  <si>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</si>
  <si>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</si>
  <si>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</si>
  <si>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</si>
  <si>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</si>
  <si>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</si>
  <si>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</si>
  <si>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</si>
  <si>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</si>
  <si>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</si>
  <si>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</si>
  <si>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</si>
  <si>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</si>
  <si>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</si>
  <si>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</si>
  <si>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</si>
  <si>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</si>
  <si>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</si>
  <si>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</si>
  <si>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</si>
  <si>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</si>
  <si>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</si>
  <si>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</si>
  <si>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</si>
  <si>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</si>
  <si>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</si>
  <si>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</si>
  <si>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</si>
  <si>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</si>
  <si>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</si>
  <si>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</si>
  <si>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</si>
  <si>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</si>
  <si>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</si>
  <si>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</si>
  <si>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</si>
  <si>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</si>
  <si>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</si>
  <si>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</si>
  <si>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</si>
  <si>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</si>
  <si>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</si>
  <si>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</si>
  <si>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</si>
  <si>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</si>
  <si>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</si>
  <si>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</si>
  <si>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</si>
  <si>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</si>
  <si>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</si>
  <si>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</si>
  <si>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</si>
  <si>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</si>
  <si>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</si>
  <si>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</si>
  <si>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</si>
  <si>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</si>
  <si>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</si>
  <si>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</si>
  <si>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</si>
  <si>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</si>
  <si>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</si>
  <si>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</si>
  <si>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</si>
  <si>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</si>
  <si>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</si>
  <si>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</si>
  <si>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</si>
  <si>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</si>
  <si>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</si>
  <si>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</si>
  <si>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</si>
  <si>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</si>
  <si>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</si>
  <si>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</si>
  <si>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</si>
  <si>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</si>
  <si>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</si>
  <si>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</si>
  <si>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</si>
  <si>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</si>
  <si>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</si>
  <si>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</si>
  <si>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</si>
  <si>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</si>
  <si>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</si>
  <si>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</si>
  <si>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</si>
  <si>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</si>
  <si>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</si>
  <si>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</si>
  <si>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</si>
  <si>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</si>
  <si>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</si>
  <si>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</si>
  <si>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</si>
  <si>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</si>
  <si>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</si>
  <si>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</si>
  <si>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</si>
  <si>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</si>
  <si>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</si>
  <si>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</si>
  <si>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</si>
  <si>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</si>
  <si>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</si>
  <si>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</si>
  <si>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</si>
  <si>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</si>
  <si>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</si>
  <si>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</si>
  <si>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</si>
  <si>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</si>
  <si>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</si>
  <si>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</si>
  <si>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</si>
  <si>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HEP Elektra d.o.o.</t>
  </si>
  <si>
    <t>Ulica grada Vukovara 37, Zagreb</t>
  </si>
  <si>
    <t>2203277403</t>
  </si>
  <si>
    <t>2203277517</t>
  </si>
  <si>
    <t>2203277404</t>
  </si>
  <si>
    <t>Hrvatski Telekomm d.d.</t>
  </si>
  <si>
    <t>Radnicka cesta 21, 10135 Zagreb</t>
  </si>
  <si>
    <t>2203282605</t>
  </si>
  <si>
    <t>stripe payments Europe</t>
  </si>
  <si>
    <t>Dublin</t>
  </si>
  <si>
    <t>IE3206488LH</t>
  </si>
  <si>
    <t>DARS Autoceste</t>
  </si>
  <si>
    <t>3000 Celje</t>
  </si>
  <si>
    <t>SI92473717</t>
  </si>
  <si>
    <t>RLH Zwettl,</t>
  </si>
  <si>
    <t>Pater Werner Deibl 1, Zwettl</t>
  </si>
  <si>
    <t>ATU16319106</t>
  </si>
  <si>
    <t>Sonnentor KräutergmbH</t>
  </si>
  <si>
    <t>3913 Sprögnitz 10</t>
  </si>
  <si>
    <t>ATU38904708</t>
  </si>
  <si>
    <t>Bocak j.d.o.o.</t>
  </si>
  <si>
    <t>I ulica 22, 53287 Prizna</t>
  </si>
  <si>
    <t>Mario Either</t>
  </si>
  <si>
    <t>,</t>
  </si>
  <si>
    <t>Hrvatska Radiotelevizija</t>
  </si>
  <si>
    <t>Prisavlje 3, 10000 Zagreb</t>
  </si>
  <si>
    <t>Abgabe mit Buchhaltung per Ende Juni 2025</t>
  </si>
  <si>
    <t>149-425</t>
  </si>
  <si>
    <t>Abgabe mit Buchhaltung per Ende Juli 2025</t>
  </si>
  <si>
    <t>Abgabe mit Buchhaltung per Ende August 2025</t>
  </si>
  <si>
    <t>Abgabe mit Buchhaltung per Ende September 2025</t>
  </si>
  <si>
    <t>Peter Boros</t>
  </si>
  <si>
    <t>150-625</t>
  </si>
  <si>
    <t>151-625</t>
  </si>
  <si>
    <t>152-625</t>
  </si>
  <si>
    <t>153-625</t>
  </si>
  <si>
    <t>154-625</t>
  </si>
  <si>
    <t>Grüner Gabi</t>
  </si>
  <si>
    <t>Konstantin Eisner</t>
  </si>
  <si>
    <t>Andrea Gallasz</t>
  </si>
  <si>
    <t>Magner Felix</t>
  </si>
  <si>
    <t>4047974433-202501-8</t>
  </si>
  <si>
    <t>103-LLC-360</t>
  </si>
  <si>
    <t>6300114795-305-6</t>
  </si>
  <si>
    <t>18902-2256</t>
  </si>
  <si>
    <t>18910-2250</t>
  </si>
  <si>
    <t>18929-2253</t>
  </si>
  <si>
    <t>TFFGJ5SP-2025-01</t>
  </si>
  <si>
    <t>9870/021/6</t>
  </si>
  <si>
    <t>IKEA HR d.o.o.</t>
  </si>
  <si>
    <t>Ul. Alfreda Nobela 2, Zagreb</t>
  </si>
  <si>
    <t>17/PP1/1</t>
  </si>
  <si>
    <t>Jerkic profoma Rechnung - siehe Beleg 16</t>
  </si>
  <si>
    <t>Jerdic d.o.o.</t>
  </si>
  <si>
    <t>Ul. Grada Vukovarar 226, 10000 Zagreb</t>
  </si>
  <si>
    <t>6300114795-306-4</t>
  </si>
  <si>
    <t>425-LLC-360</t>
  </si>
  <si>
    <t>18902-3252</t>
  </si>
  <si>
    <t>18910-3256</t>
  </si>
  <si>
    <t>18929-3250</t>
  </si>
  <si>
    <t>4047974433-202503-4</t>
  </si>
  <si>
    <t>TFFGJ5SP-2025-02</t>
  </si>
  <si>
    <t>W901-02-691250340562</t>
  </si>
  <si>
    <t>6300114795-307-2</t>
  </si>
  <si>
    <t>18902-4259</t>
  </si>
  <si>
    <t>18910-4252</t>
  </si>
  <si>
    <t>18929-4256</t>
  </si>
  <si>
    <t>755-LLC-360</t>
  </si>
  <si>
    <t>4047974433-202504-2</t>
  </si>
  <si>
    <t>12044/021/62</t>
  </si>
  <si>
    <t>18902-5255</t>
  </si>
  <si>
    <t>6300114795-308-0</t>
  </si>
  <si>
    <t>1091-LLC-360</t>
  </si>
  <si>
    <t>4047974433-202505-0</t>
  </si>
  <si>
    <t>TFFGJ5SP-2025-04</t>
  </si>
  <si>
    <t>9/1/1</t>
  </si>
  <si>
    <t>Maleus j.d.o.o.</t>
  </si>
  <si>
    <t>Ul. Popa Frana Binickog 18, 53201 Licki Osik</t>
  </si>
  <si>
    <t>Croatia osiguranje d.d.</t>
  </si>
  <si>
    <t>Batroslava jagica 33, 10000 Zagreb</t>
  </si>
  <si>
    <t>990513939/25</t>
  </si>
  <si>
    <t>Kastner GroßhandelgmbH</t>
  </si>
  <si>
    <t>Karl Kastner Str.1, 3910 Zwettl</t>
  </si>
  <si>
    <t>ATU 63372228</t>
  </si>
  <si>
    <t>6300114795-309-9</t>
  </si>
  <si>
    <t>18902-6251</t>
  </si>
  <si>
    <t>Vodovod HR Primorje d.o.o.</t>
  </si>
  <si>
    <t>1333</t>
  </si>
  <si>
    <t>1334</t>
  </si>
  <si>
    <t>1335</t>
  </si>
  <si>
    <t>1439-LLC-360</t>
  </si>
  <si>
    <t>4047974433-202506-9</t>
  </si>
  <si>
    <t>1-1-1</t>
  </si>
  <si>
    <t>Abgabe der Buchhaltung per Ende Juni 2025</t>
  </si>
  <si>
    <t>Abgabe der Buchhaltung per Ende Juli 2025</t>
  </si>
  <si>
    <t>Abgabe der Buchhaltung per Ende August 2025</t>
  </si>
  <si>
    <t>Abgabe der Buchhaltung per Ende September 2025</t>
  </si>
  <si>
    <t>Abgabe der Buchhaltung per Ende Dezember 2025</t>
  </si>
  <si>
    <t>Abgabe mit Buchhaltung per Ende Dezember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</si>
</sst>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5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  <font>
      <sz val="8"/>
      <name val="Verdana"/>
      <family val="2"/>
      <charset val="238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9" fillId="4" borderId="0">
      <alignment horizontal="left" vertical="top"/>
    </xf>
    <xf numFmtId="0" fontId="12" fillId="0" borderId="0" applyNumberForma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39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0" fillId="0" borderId="28" xfId="0" applyBorder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0" fillId="0" borderId="0" xfId="0" applyAlignment="1">
      <alignment horizontal="left"/>
    </xf>
    <xf numFmtId="4" fontId="3" fillId="0" borderId="12" xfId="2" applyNumberFormat="1" applyFont="1" applyBorder="1"/>
    <xf numFmtId="4" fontId="3" fillId="0" borderId="1" xfId="2" applyNumberFormat="1" applyFont="1" applyBorder="1" applyAlignment="1">
      <alignment horizontal="right"/>
    </xf>
    <xf numFmtId="4" fontId="3" fillId="0" borderId="17" xfId="2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3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8" fillId="0" borderId="0" xfId="0" applyFont="1"/>
    <xf numFmtId="49" fontId="0" fillId="0" borderId="0" xfId="0" applyNumberFormat="1"/>
    <xf numFmtId="0" fontId="3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3" fillId="0" borderId="35" xfId="2" applyNumberFormat="1" applyFont="1" applyBorder="1"/>
    <xf numFmtId="4" fontId="0" fillId="0" borderId="36" xfId="0" applyNumberFormat="1" applyBorder="1" applyAlignment="1">
      <alignment horizontal="right"/>
    </xf>
    <xf numFmtId="4" fontId="0" fillId="0" borderId="36" xfId="0" applyNumberFormat="1" applyBorder="1"/>
    <xf numFmtId="4" fontId="3" fillId="0" borderId="35" xfId="0" applyNumberFormat="1" applyFont="1" applyBorder="1"/>
    <xf numFmtId="0" fontId="4" fillId="2" borderId="37" xfId="0" applyFont="1" applyFill="1" applyBorder="1"/>
    <xf numFmtId="0" fontId="12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5" fillId="0" borderId="1" xfId="0" applyFont="1" applyBorder="1"/>
    <xf numFmtId="0" fontId="18" fillId="0" borderId="39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4" fontId="3" fillId="0" borderId="0" xfId="0" applyNumberFormat="1" applyFont="1"/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4" fontId="0" fillId="0" borderId="10" xfId="0" applyNumberFormat="1" applyBorder="1"/>
    <xf numFmtId="0" fontId="20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5" fillId="0" borderId="1" xfId="0" applyNumberFormat="1" applyFont="1" applyBorder="1"/>
    <xf numFmtId="0" fontId="21" fillId="0" borderId="0" xfId="0" applyFont="1"/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0" xfId="0" applyFont="1"/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7"/>
    <xf numFmtId="14" fontId="2" fillId="0" borderId="0" xfId="7" applyNumberFormat="1"/>
    <xf numFmtId="49" fontId="0" fillId="0" borderId="1" xfId="0" applyNumberFormat="1" applyBorder="1"/>
    <xf numFmtId="4" fontId="19" fillId="3" borderId="1" xfId="0" applyNumberFormat="1" applyFont="1" applyFill="1" applyBorder="1"/>
    <xf numFmtId="0" fontId="22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9" fillId="0" borderId="0" xfId="0" applyNumberFormat="1" applyFont="1"/>
    <xf numFmtId="4" fontId="19" fillId="3" borderId="0" xfId="0" applyNumberFormat="1" applyFont="1" applyFill="1"/>
    <xf numFmtId="49" fontId="0" fillId="0" borderId="1" xfId="0" applyNumberFormat="1" applyBorder="1" applyAlignment="1">
      <alignment horizontal="center"/>
    </xf>
    <xf numFmtId="0" fontId="0" fillId="0" borderId="45" xfId="0" applyBorder="1"/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/>
    <xf numFmtId="2" fontId="5" fillId="0" borderId="17" xfId="0" applyNumberFormat="1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/>
    <xf numFmtId="0" fontId="5" fillId="0" borderId="10" xfId="0" applyFont="1" applyBorder="1"/>
    <xf numFmtId="0" fontId="0" fillId="0" borderId="26" xfId="0" applyBorder="1"/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2" xfId="0" applyNumberFormat="1" applyBorder="1"/>
    <xf numFmtId="0" fontId="0" fillId="0" borderId="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17" xfId="0" applyNumberFormat="1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49" fontId="0" fillId="0" borderId="10" xfId="0" applyNumberFormat="1" applyBorder="1"/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7" xfId="0" applyBorder="1"/>
    <xf numFmtId="0" fontId="5" fillId="0" borderId="49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0" fillId="0" borderId="12" xfId="0" applyBorder="1"/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0" fillId="0" borderId="50" xfId="0" applyBorder="1"/>
    <xf numFmtId="0" fontId="5" fillId="0" borderId="50" xfId="0" applyFont="1" applyBorder="1" applyAlignment="1">
      <alignment horizontal="right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3" xfId="0" applyBorder="1" applyAlignment="1">
      <alignment horizontal="center"/>
    </xf>
    <xf numFmtId="49" fontId="0" fillId="0" borderId="24" xfId="0" applyNumberFormat="1" applyBorder="1"/>
    <xf numFmtId="14" fontId="0" fillId="0" borderId="24" xfId="0" applyNumberFormat="1" applyBorder="1" applyAlignment="1">
      <alignment horizontal="center"/>
    </xf>
    <xf numFmtId="1" fontId="5" fillId="0" borderId="1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5" fillId="0" borderId="10" xfId="0" applyFont="1" applyBorder="1" applyAlignment="1">
      <alignment horizontal="left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2" fontId="5" fillId="0" borderId="0" xfId="0" applyNumberFormat="1" applyFont="1"/>
    <xf numFmtId="4" fontId="20" fillId="0" borderId="0" xfId="0" applyNumberFormat="1" applyFont="1"/>
    <xf numFmtId="0" fontId="5" fillId="0" borderId="54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5" fillId="0" borderId="6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0" fillId="0" borderId="24" xfId="0" applyBorder="1" applyAlignment="1">
      <alignment horizontal="center"/>
    </xf>
    <xf numFmtId="1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1" fontId="5" fillId="0" borderId="11" xfId="0" applyNumberFormat="1" applyFont="1" applyBorder="1" applyAlignment="1">
      <alignment horizontal="center" vertical="center"/>
    </xf>
    <xf numFmtId="0" fontId="5" fillId="0" borderId="51" xfId="0" applyFont="1" applyBorder="1" applyAlignment="1">
      <alignment horizontal="left"/>
    </xf>
    <xf numFmtId="0" fontId="5" fillId="0" borderId="24" xfId="0" applyFont="1" applyBorder="1" applyAlignment="1">
      <alignment horizontal="right"/>
    </xf>
    <xf numFmtId="0" fontId="0" fillId="5" borderId="0" xfId="0" applyFill="1" applyAlignment="1">
      <alignment horizontal="center"/>
    </xf>
    <xf numFmtId="0" fontId="5" fillId="0" borderId="44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5" fillId="0" borderId="60" xfId="0" applyNumberFormat="1" applyFont="1" applyBorder="1" applyAlignment="1">
      <alignment horizontal="center" vertical="center"/>
    </xf>
    <xf numFmtId="14" fontId="5" fillId="0" borderId="60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9" fontId="5" fillId="0" borderId="63" xfId="0" applyNumberFormat="1" applyFont="1" applyBorder="1" applyAlignment="1">
      <alignment horizontal="center" vertical="center"/>
    </xf>
    <xf numFmtId="14" fontId="5" fillId="0" borderId="63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9" fontId="5" fillId="0" borderId="67" xfId="0" applyNumberFormat="1" applyFont="1" applyBorder="1" applyAlignment="1">
      <alignment horizontal="center" vertical="center"/>
    </xf>
    <xf numFmtId="14" fontId="5" fillId="0" borderId="67" xfId="0" applyNumberFormat="1" applyFont="1" applyBorder="1" applyAlignment="1">
      <alignment horizontal="center" vertical="center"/>
    </xf>
    <xf numFmtId="0" fontId="5" fillId="0" borderId="67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46" xfId="0" applyFill="1" applyBorder="1" applyAlignment="1">
      <alignment horizontal="center"/>
    </xf>
    <xf numFmtId="49" fontId="5" fillId="0" borderId="68" xfId="0" applyNumberFormat="1" applyFont="1" applyBorder="1" applyAlignment="1">
      <alignment horizontal="center" vertical="center"/>
    </xf>
    <xf numFmtId="14" fontId="5" fillId="0" borderId="68" xfId="0" applyNumberFormat="1" applyFont="1" applyBorder="1" applyAlignment="1">
      <alignment horizontal="center" vertical="center"/>
    </xf>
    <xf numFmtId="0" fontId="5" fillId="0" borderId="68" xfId="0" applyFont="1" applyBorder="1" applyAlignment="1">
      <alignment vertical="center"/>
    </xf>
    <xf numFmtId="49" fontId="5" fillId="0" borderId="69" xfId="0" applyNumberFormat="1" applyFont="1" applyBorder="1" applyAlignment="1">
      <alignment horizontal="center" vertical="center"/>
    </xf>
    <xf numFmtId="14" fontId="5" fillId="0" borderId="69" xfId="0" applyNumberFormat="1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0" fillId="5" borderId="0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6" xfId="0" applyBorder="1"/>
    <xf numFmtId="0" fontId="0" fillId="0" borderId="0" xfId="0" applyBorder="1"/>
    <xf numFmtId="0" fontId="0" fillId="0" borderId="52" xfId="0" applyBorder="1"/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49" fontId="16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2" fillId="0" borderId="2" xfId="4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Font="1" applyBorder="1" applyAlignment="1">
      <alignment horizontal="center" vertical="center"/>
    </xf>
    <xf numFmtId="43" fontId="0" fillId="0" borderId="13" xfId="6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2" xfId="0" applyNumberFormat="1" applyBorder="1" applyAlignment="1">
      <alignment horizontal="center"/>
    </xf>
    <xf numFmtId="14" fontId="20" fillId="0" borderId="17" xfId="0" applyNumberFormat="1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5" fillId="0" borderId="12" xfId="0" applyFont="1" applyBorder="1"/>
    <xf numFmtId="0" fontId="0" fillId="0" borderId="50" xfId="0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49" fontId="5" fillId="0" borderId="56" xfId="0" applyNumberFormat="1" applyFont="1" applyFill="1" applyBorder="1" applyAlignment="1">
      <alignment horizontal="center" vertical="center"/>
    </xf>
    <xf numFmtId="49" fontId="5" fillId="0" borderId="57" xfId="0" applyNumberFormat="1" applyFont="1" applyFill="1" applyBorder="1" applyAlignment="1">
      <alignment horizontal="center" vertical="center"/>
    </xf>
    <xf numFmtId="49" fontId="5" fillId="0" borderId="58" xfId="0" applyNumberFormat="1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5" fillId="6" borderId="38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49" fontId="5" fillId="6" borderId="56" xfId="0" applyNumberFormat="1" applyFont="1" applyFill="1" applyBorder="1" applyAlignment="1">
      <alignment horizontal="center" vertical="center"/>
    </xf>
    <xf numFmtId="49" fontId="5" fillId="6" borderId="57" xfId="0" applyNumberFormat="1" applyFont="1" applyFill="1" applyBorder="1" applyAlignment="1">
      <alignment horizontal="center" vertical="center"/>
    </xf>
    <xf numFmtId="49" fontId="5" fillId="6" borderId="58" xfId="0" applyNumberFormat="1" applyFont="1" applyFill="1" applyBorder="1" applyAlignment="1">
      <alignment horizontal="center" vertical="center"/>
    </xf>
  </cellXfs>
  <cellStyles count="9">
    <cellStyle name="Hyperlink" xfId="4" builtinId="8"/>
    <cellStyle name="Komma" xfId="6" builtinId="3"/>
    <cellStyle name="Normal 2" xfId="2"/>
    <cellStyle name="Normal 3" xfId="1"/>
    <cellStyle name="Normal 3 2" xfId="8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44" t="s">
        <v>130</v>
      </c>
      <c r="B1" s="44" t="s">
        <v>128</v>
      </c>
      <c r="C1" s="44" t="s">
        <v>127</v>
      </c>
      <c r="D1" s="44" t="s">
        <v>129</v>
      </c>
    </row>
    <row r="2" spans="1:4" x14ac:dyDescent="0.2">
      <c r="A2" t="s">
        <v>139</v>
      </c>
      <c r="B2" s="29" t="s">
        <v>354</v>
      </c>
      <c r="C2" t="s">
        <v>355</v>
      </c>
      <c r="D2" s="29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5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1">
        <v>0.05</v>
      </c>
      <c r="C38" s="41">
        <v>0.05</v>
      </c>
      <c r="D38" s="41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1">
        <v>0.13</v>
      </c>
      <c r="C41" s="41">
        <v>0.13</v>
      </c>
      <c r="D41" s="41">
        <v>0.13</v>
      </c>
    </row>
    <row r="42" spans="1:4" ht="12" customHeight="1" x14ac:dyDescent="0.2">
      <c r="A42" t="s">
        <v>177</v>
      </c>
      <c r="B42" t="str">
        <f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>B40</f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1">
        <v>0.25</v>
      </c>
      <c r="C44" s="41">
        <v>0.25</v>
      </c>
      <c r="D44" s="41">
        <v>0.25</v>
      </c>
    </row>
    <row r="45" spans="1:4" ht="12" customHeight="1" x14ac:dyDescent="0.2">
      <c r="A45" t="s">
        <v>180</v>
      </c>
      <c r="B45" t="str">
        <f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>B43</f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1">
        <v>0.05</v>
      </c>
      <c r="C65" s="41">
        <v>0.05</v>
      </c>
      <c r="D65" s="41">
        <v>0.05</v>
      </c>
    </row>
    <row r="66" spans="1:4" x14ac:dyDescent="0.2">
      <c r="A66" t="s">
        <v>196</v>
      </c>
      <c r="B66" s="41">
        <v>0.1</v>
      </c>
      <c r="C66" s="41">
        <v>0.1</v>
      </c>
      <c r="D66" s="41">
        <v>0.1</v>
      </c>
    </row>
    <row r="67" spans="1:4" x14ac:dyDescent="0.2">
      <c r="A67" t="s">
        <v>197</v>
      </c>
      <c r="B67" s="41">
        <v>0.25</v>
      </c>
      <c r="C67" s="41">
        <v>0.25</v>
      </c>
      <c r="D67" s="41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1">
        <v>0.05</v>
      </c>
      <c r="C71" s="41">
        <v>0.05</v>
      </c>
      <c r="D71" s="41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1">
        <v>0.13</v>
      </c>
      <c r="C74" s="41">
        <v>0.13</v>
      </c>
      <c r="D74" s="41">
        <v>0.13</v>
      </c>
    </row>
    <row r="75" spans="1:4" x14ac:dyDescent="0.2">
      <c r="A75" t="s">
        <v>205</v>
      </c>
      <c r="B75" t="str">
        <f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>B73</f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1">
        <v>0.25</v>
      </c>
      <c r="C77" s="41">
        <v>0.25</v>
      </c>
      <c r="D77" s="41">
        <v>0.25</v>
      </c>
    </row>
    <row r="78" spans="1:4" x14ac:dyDescent="0.2">
      <c r="A78" t="s">
        <v>208</v>
      </c>
      <c r="B78" t="str">
        <f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>B76</f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29" t="s">
        <v>320</v>
      </c>
      <c r="C83" t="s">
        <v>489</v>
      </c>
      <c r="D83" s="29" t="s">
        <v>56</v>
      </c>
    </row>
    <row r="84" spans="1:4" ht="25.5" x14ac:dyDescent="0.2">
      <c r="A84" t="s">
        <v>215</v>
      </c>
      <c r="B84" s="29" t="s">
        <v>321</v>
      </c>
      <c r="C84" s="29" t="s">
        <v>490</v>
      </c>
      <c r="D84" s="29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29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2" t="str">
        <f>CONCATENATE("UMSATZSTEUERVORANMELDUNG FÜR DEN ZEITRAUM VON ",NASLOV!B13," BIS ",NASLOV!C13,NASLOV!D13)</f>
        <v>UMSATZSTEUERVORANMELDUNG FÜR DEN ZEITRAUM VON 01.07. BIS 31.07.2020</v>
      </c>
      <c r="D88" s="29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29" t="s">
        <v>325</v>
      </c>
      <c r="C89" s="29" t="s">
        <v>144</v>
      </c>
      <c r="D89" s="29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t="str">
        <f>[3]PDV!$A$9</f>
        <v xml:space="preserve"> OBRAČUN PDV-a U OBALJENIM TRANSAKCIJAMA
 DOBARA I USLUGA - UKUPNO (I. + II.)</v>
      </c>
      <c r="C92" t="s">
        <v>359</v>
      </c>
      <c r="D92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3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1">
        <v>0.05</v>
      </c>
      <c r="C213" s="41">
        <v>0.05</v>
      </c>
      <c r="D213" s="41">
        <v>0.05</v>
      </c>
    </row>
    <row r="214" spans="1:4" x14ac:dyDescent="0.2">
      <c r="A214" t="s">
        <v>516</v>
      </c>
      <c r="B214" s="41">
        <v>0.1</v>
      </c>
      <c r="C214" s="41">
        <v>0.1</v>
      </c>
      <c r="D214" s="41">
        <v>0.1</v>
      </c>
    </row>
    <row r="215" spans="1:4" x14ac:dyDescent="0.2">
      <c r="A215" t="s">
        <v>517</v>
      </c>
      <c r="B215" s="41">
        <v>0.25</v>
      </c>
      <c r="C215" s="41">
        <v>0.25</v>
      </c>
      <c r="D215" s="41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1">
        <v>0.05</v>
      </c>
      <c r="C219" s="41">
        <v>0.05</v>
      </c>
      <c r="D219" s="41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1">
        <v>0.13</v>
      </c>
      <c r="C222" s="41">
        <v>0.13</v>
      </c>
      <c r="D222" s="41">
        <v>0.13</v>
      </c>
    </row>
    <row r="223" spans="1:4" x14ac:dyDescent="0.2">
      <c r="A223" t="s">
        <v>525</v>
      </c>
      <c r="B223" t="str">
        <f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>B221</f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1">
        <v>0.25</v>
      </c>
      <c r="C225" s="41">
        <v>0.25</v>
      </c>
      <c r="D225" s="41">
        <v>0.25</v>
      </c>
    </row>
    <row r="226" spans="1:4" x14ac:dyDescent="0.2">
      <c r="A226" t="s">
        <v>528</v>
      </c>
      <c r="B226" t="str">
        <f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>B224</f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1">
        <v>0.05</v>
      </c>
      <c r="C245" s="41">
        <v>0.05</v>
      </c>
      <c r="D245" s="41">
        <v>0.05</v>
      </c>
    </row>
    <row r="246" spans="1:4" x14ac:dyDescent="0.2">
      <c r="A246" t="s">
        <v>549</v>
      </c>
      <c r="B246" s="41">
        <v>0.1</v>
      </c>
      <c r="C246" s="41">
        <v>0.1</v>
      </c>
      <c r="D246" s="41">
        <v>0.1</v>
      </c>
    </row>
    <row r="247" spans="1:4" x14ac:dyDescent="0.2">
      <c r="A247" t="s">
        <v>550</v>
      </c>
      <c r="B247" s="41">
        <v>0.25</v>
      </c>
      <c r="C247" s="41">
        <v>0.25</v>
      </c>
      <c r="D247" s="41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1">
        <v>0.05</v>
      </c>
      <c r="C251" s="41">
        <v>0.05</v>
      </c>
      <c r="D251" s="41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1">
        <v>0.13</v>
      </c>
      <c r="C254" s="41">
        <v>0.13</v>
      </c>
      <c r="D254" s="41">
        <v>0.13</v>
      </c>
    </row>
    <row r="255" spans="1:4" x14ac:dyDescent="0.2">
      <c r="A255" t="s">
        <v>558</v>
      </c>
      <c r="B255" t="str">
        <f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>B253</f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1">
        <v>0.25</v>
      </c>
      <c r="C257" s="41">
        <v>0.25</v>
      </c>
      <c r="D257" s="41">
        <v>0.25</v>
      </c>
    </row>
    <row r="258" spans="1:4" x14ac:dyDescent="0.2">
      <c r="A258" t="s">
        <v>561</v>
      </c>
      <c r="B258" t="str">
        <f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>B256</f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39" t="str">
        <f>INDEX(PRIJEVODI!B:D,MATCH("PDV-S-001",PRIJEVODI!A:A,0),MATCH(NASLOV!$B$2,PRIJEVODI!$B$1:$D$1,0))</f>
        <v>UVA Formular</v>
      </c>
      <c r="J3" s="239"/>
      <c r="K3" s="239"/>
    </row>
    <row r="4" spans="2:11" x14ac:dyDescent="0.2">
      <c r="I4" s="239"/>
      <c r="J4" s="239"/>
      <c r="K4" s="239"/>
    </row>
    <row r="5" spans="2:11" ht="12.75" customHeight="1" x14ac:dyDescent="0.2"/>
    <row r="6" spans="2:11" ht="12.75" customHeight="1" x14ac:dyDescent="0.2">
      <c r="B6" s="262" t="str">
        <f>INDEX(PRIJEVODI!B:D,MATCH("PDV-S-002",PRIJEVODI!A:A,0),MATCH(NASLOV!$B$2,PRIJEVODI!$B$1:$D$1,0))</f>
        <v>ZUSTÄNDIGES FINANZAMT - REGIONALBÜRO (1)</v>
      </c>
      <c r="C6" s="263"/>
      <c r="D6" s="330" t="s">
        <v>570</v>
      </c>
      <c r="E6" s="331"/>
      <c r="G6" s="324" t="str">
        <f>INDEX(PRIJEVODI!B:D,MATCH("PDV-S-004",PRIJEVODI!A:A,0),MATCH(NASLOV!$B$2,PRIJEVODI!$B$1:$D$1,0))</f>
        <v>STEUERNUMMER (UID) (3)</v>
      </c>
      <c r="H6" s="326"/>
      <c r="I6" s="318" t="str">
        <f>INDEX(PRIJEVODI!B:D,MATCH("PDV-S-005",PRIJEVODI!A:A,0),MATCH(NASLOV!$B$2,PRIJEVODI!$B$1:$D$1,0))</f>
        <v>HR</v>
      </c>
      <c r="J6" s="275" t="str">
        <f>+NASLOV!B9</f>
        <v>HR6411581446</v>
      </c>
      <c r="K6" s="291"/>
    </row>
    <row r="7" spans="2:11" ht="12.75" customHeight="1" x14ac:dyDescent="0.2">
      <c r="B7" s="264"/>
      <c r="C7" s="265"/>
      <c r="D7" s="332"/>
      <c r="E7" s="333"/>
      <c r="G7" s="327"/>
      <c r="H7" s="329"/>
      <c r="I7" s="320"/>
      <c r="J7" s="277"/>
      <c r="K7" s="296"/>
    </row>
    <row r="8" spans="2:11" ht="12.75" customHeight="1" x14ac:dyDescent="0.2">
      <c r="B8" s="266"/>
      <c r="C8" s="267"/>
      <c r="D8" s="334"/>
      <c r="E8" s="335"/>
      <c r="G8" s="262" t="str">
        <f>INDEX(PRIJEVODI!B:D,MATCH("PDV-S-006",PRIJEVODI!A:A,0),MATCH(NASLOV!$B$2,PRIJEVODI!$B$1:$D$1,0))</f>
        <v>Steuerpflichtiger (Titel/Name und Nachname)  (4)</v>
      </c>
      <c r="H8" s="263"/>
      <c r="I8" s="323" t="str">
        <f>NASLOV!B5</f>
        <v>Markus Renz</v>
      </c>
      <c r="J8" s="279"/>
      <c r="K8" s="285"/>
    </row>
    <row r="9" spans="2:11" ht="12.75" customHeight="1" x14ac:dyDescent="0.2">
      <c r="B9" s="275" t="str">
        <f>INDEX(PRIJEVODI!B:D,MATCH("PDV-S-003",PRIJEVODI!A:A,0),MATCH(NASLOV!$B$2,PRIJEVODI!$B$1:$D$1,0))</f>
        <v xml:space="preserve">Aussenstelle </v>
      </c>
      <c r="C9" s="291"/>
      <c r="D9" s="330" t="s">
        <v>571</v>
      </c>
      <c r="E9" s="331"/>
      <c r="G9" s="264"/>
      <c r="H9" s="265"/>
      <c r="I9" s="355"/>
      <c r="J9" s="239"/>
      <c r="K9" s="280"/>
    </row>
    <row r="10" spans="2:11" ht="12.75" customHeight="1" x14ac:dyDescent="0.2">
      <c r="B10" s="276"/>
      <c r="C10" s="298"/>
      <c r="D10" s="332"/>
      <c r="E10" s="333"/>
      <c r="G10" s="266"/>
      <c r="H10" s="267"/>
      <c r="I10" s="281"/>
      <c r="J10" s="282"/>
      <c r="K10" s="283"/>
    </row>
    <row r="11" spans="2:11" ht="12.75" customHeight="1" x14ac:dyDescent="0.2">
      <c r="B11" s="277"/>
      <c r="C11" s="296"/>
      <c r="D11" s="334"/>
      <c r="E11" s="335"/>
      <c r="G11" s="324" t="str">
        <f>INDEX(PRIJEVODI!B:D,MATCH("PDV-S-007",PRIJEVODI!A:A,0),MATCH(NASLOV!$B$2,PRIJEVODI!$B$1:$D$1,0))</f>
        <v>Adresse (Ort, Strasse und Hausnummer)  (5)</v>
      </c>
      <c r="H11" s="326"/>
      <c r="I11" s="323" t="str">
        <f>NASLOV!B7</f>
        <v>Am Sonnblick 6, Lichtenau</v>
      </c>
      <c r="J11" s="279"/>
      <c r="K11" s="285"/>
    </row>
    <row r="12" spans="2:11" ht="12.75" customHeight="1" x14ac:dyDescent="0.2">
      <c r="G12" s="327"/>
      <c r="H12" s="329"/>
      <c r="I12" s="281"/>
      <c r="J12" s="282"/>
      <c r="K12" s="283"/>
    </row>
    <row r="13" spans="2:11" ht="12.75" customHeight="1" x14ac:dyDescent="0.2">
      <c r="G13" s="262" t="str">
        <f>INDEX(PRIJEVODI!B:D,MATCH("PDV-S-008",PRIJEVODI!A:A,0),MATCH(NASLOV!$B$2,PRIJEVODI!$B$1:$D$1,0))</f>
        <v xml:space="preserve">Steuernummer UID des Steuervertreters </v>
      </c>
      <c r="H13" s="263"/>
      <c r="I13" s="318" t="s">
        <v>1</v>
      </c>
      <c r="J13" s="323"/>
      <c r="K13" s="285"/>
    </row>
    <row r="14" spans="2:11" x14ac:dyDescent="0.2">
      <c r="G14" s="266"/>
      <c r="H14" s="267"/>
      <c r="I14" s="320"/>
      <c r="J14" s="281"/>
      <c r="K14" s="283"/>
    </row>
    <row r="20" spans="2:14" ht="12.75" customHeight="1" x14ac:dyDescent="0.2">
      <c r="B20" s="336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36"/>
      <c r="D20" s="336"/>
      <c r="E20" s="336"/>
      <c r="F20" s="336"/>
      <c r="G20" s="336"/>
      <c r="H20" s="336"/>
      <c r="I20" s="336"/>
    </row>
    <row r="21" spans="2:14" x14ac:dyDescent="0.2">
      <c r="B21" s="336"/>
      <c r="C21" s="336"/>
      <c r="D21" s="336"/>
      <c r="E21" s="336"/>
      <c r="F21" s="336"/>
      <c r="G21" s="336"/>
      <c r="H21" s="336"/>
      <c r="I21" s="336"/>
    </row>
    <row r="22" spans="2:14" x14ac:dyDescent="0.2">
      <c r="B22" s="336"/>
      <c r="C22" s="336"/>
      <c r="D22" s="336"/>
      <c r="E22" s="336"/>
      <c r="F22" s="336"/>
      <c r="G22" s="336"/>
      <c r="H22" s="336"/>
      <c r="I22" s="336"/>
    </row>
    <row r="23" spans="2:14" x14ac:dyDescent="0.2">
      <c r="B23" s="336"/>
      <c r="C23" s="336"/>
      <c r="D23" s="336"/>
      <c r="E23" s="336"/>
      <c r="F23" s="336"/>
      <c r="G23" s="336"/>
      <c r="H23" s="336"/>
      <c r="I23" s="336"/>
    </row>
    <row r="26" spans="2:14" x14ac:dyDescent="0.2">
      <c r="B26" s="268" t="str">
        <f>INDEX(PRIJEVODI!B:D,MATCH("PDV-S-010",PRIJEVODI!A:A,0),MATCH(NASLOV!$B$2,PRIJEVODI!$B$1:$D$1,0))</f>
        <v>Ordnugsnummer  (8)</v>
      </c>
      <c r="C26" s="268" t="str">
        <f>INDEX(PRIJEVODI!B:D,MATCH("PDV-S-011",PRIJEVODI!A:A,0),MATCH(NASLOV!$B$2,PRIJEVODI!$B$1:$D$1,0))</f>
        <v>Landescode  (9)</v>
      </c>
      <c r="D26" s="262" t="str">
        <f>INDEX(PRIJEVODI!B:D,MATCH("PDV-S-012",PRIJEVODI!A:A,0),MATCH(NASLOV!$B$2,PRIJEVODI!$B$1:$D$1,0))</f>
        <v>Steuernummer UID der Lieferanten (ohne Landesvorwahl)  (10)</v>
      </c>
      <c r="E26" s="263"/>
      <c r="F26" s="262" t="str">
        <f>INDEX(PRIJEVODI!B:D,MATCH("PDV-S-013",PRIJEVODI!A:A,0),MATCH(NASLOV!$B$2,PRIJEVODI!$B$1:$D$1,0))</f>
        <v>Wert der erworbenen Güter (in Kuna und Lipa)  (11)</v>
      </c>
      <c r="G26" s="263"/>
      <c r="H26" s="262" t="str">
        <f>INDEX(PRIJEVODI!B:D,MATCH("PDV-S-014",PRIJEVODI!A:A,0),MATCH(NASLOV!$B$2,PRIJEVODI!$B$1:$D$1,0))</f>
        <v>Wert der erhaltenen Dienstleistungen (in Kuna und Lipa)  (12)</v>
      </c>
      <c r="I26" s="263"/>
    </row>
    <row r="27" spans="2:14" x14ac:dyDescent="0.2">
      <c r="B27" s="269"/>
      <c r="C27" s="269"/>
      <c r="D27" s="264"/>
      <c r="E27" s="265"/>
      <c r="F27" s="264"/>
      <c r="G27" s="265"/>
      <c r="H27" s="264"/>
      <c r="I27" s="265"/>
    </row>
    <row r="28" spans="2:14" x14ac:dyDescent="0.2">
      <c r="B28" s="269"/>
      <c r="C28" s="269"/>
      <c r="D28" s="264"/>
      <c r="E28" s="265"/>
      <c r="F28" s="264"/>
      <c r="G28" s="265"/>
      <c r="H28" s="264"/>
      <c r="I28" s="265"/>
    </row>
    <row r="29" spans="2:14" x14ac:dyDescent="0.2">
      <c r="B29" s="269"/>
      <c r="C29" s="269"/>
      <c r="D29" s="264"/>
      <c r="E29" s="265"/>
      <c r="F29" s="264"/>
      <c r="G29" s="265"/>
      <c r="H29" s="264"/>
      <c r="I29" s="265"/>
    </row>
    <row r="30" spans="2:14" x14ac:dyDescent="0.2">
      <c r="B30" s="269"/>
      <c r="C30" s="269"/>
      <c r="D30" s="264"/>
      <c r="E30" s="265"/>
      <c r="F30" s="264"/>
      <c r="G30" s="265"/>
      <c r="H30" s="264"/>
      <c r="I30" s="265"/>
    </row>
    <row r="31" spans="2:14" x14ac:dyDescent="0.2">
      <c r="B31" s="269"/>
      <c r="C31" s="269"/>
      <c r="D31" s="264"/>
      <c r="E31" s="265"/>
      <c r="F31" s="264"/>
      <c r="G31" s="265"/>
      <c r="H31" s="264"/>
      <c r="I31" s="265"/>
    </row>
    <row r="32" spans="2:14" x14ac:dyDescent="0.2">
      <c r="B32" s="269"/>
      <c r="C32" s="269"/>
      <c r="D32" s="264"/>
      <c r="E32" s="265"/>
      <c r="F32" s="264"/>
      <c r="G32" s="265"/>
      <c r="H32" s="264"/>
      <c r="I32" s="265"/>
      <c r="K32" s="42"/>
      <c r="L32" s="42"/>
      <c r="M32" s="42"/>
      <c r="N32" s="42"/>
    </row>
    <row r="33" spans="2:14" x14ac:dyDescent="0.2">
      <c r="B33" s="269"/>
      <c r="C33" s="269"/>
      <c r="D33" s="264"/>
      <c r="E33" s="265"/>
      <c r="F33" s="264"/>
      <c r="G33" s="265"/>
      <c r="H33" s="264"/>
      <c r="I33" s="265"/>
      <c r="K33" s="42"/>
      <c r="L33" s="42"/>
      <c r="M33" s="42"/>
      <c r="N33" s="42"/>
    </row>
    <row r="34" spans="2:14" x14ac:dyDescent="0.2">
      <c r="B34" s="269"/>
      <c r="C34" s="269"/>
      <c r="D34" s="264"/>
      <c r="E34" s="265"/>
      <c r="F34" s="264"/>
      <c r="G34" s="265"/>
      <c r="H34" s="264"/>
      <c r="I34" s="265"/>
      <c r="K34" s="42"/>
      <c r="L34" s="42"/>
      <c r="M34" s="42"/>
      <c r="N34" s="42"/>
    </row>
    <row r="35" spans="2:14" x14ac:dyDescent="0.2">
      <c r="B35" s="270"/>
      <c r="C35" s="270"/>
      <c r="D35" s="266"/>
      <c r="E35" s="267"/>
      <c r="F35" s="266"/>
      <c r="G35" s="267"/>
      <c r="H35" s="266"/>
      <c r="I35" s="267"/>
      <c r="K35" s="42"/>
      <c r="L35" s="42"/>
      <c r="M35" s="42"/>
      <c r="N35" s="42"/>
    </row>
    <row r="36" spans="2:14" x14ac:dyDescent="0.2">
      <c r="B36" s="2"/>
      <c r="C36" s="2"/>
      <c r="D36" s="348"/>
      <c r="E36" s="349"/>
      <c r="F36" s="93"/>
      <c r="G36" s="94"/>
      <c r="H36" s="350"/>
      <c r="I36" s="351"/>
      <c r="K36" s="115"/>
      <c r="L36" s="42"/>
      <c r="M36" s="101"/>
      <c r="N36" s="42"/>
    </row>
    <row r="37" spans="2:14" x14ac:dyDescent="0.2">
      <c r="B37" s="2"/>
      <c r="C37" s="2"/>
      <c r="D37" s="348"/>
      <c r="E37" s="349"/>
      <c r="F37" s="350"/>
      <c r="G37" s="351"/>
      <c r="H37" s="350"/>
      <c r="I37" s="351"/>
      <c r="K37" s="115"/>
      <c r="L37" s="42"/>
      <c r="M37" s="101"/>
      <c r="N37" s="42"/>
    </row>
    <row r="38" spans="2:14" x14ac:dyDescent="0.2">
      <c r="B38" s="2">
        <v>1</v>
      </c>
      <c r="C38" s="2"/>
      <c r="D38" s="64" t="s">
        <v>596</v>
      </c>
      <c r="E38" s="64"/>
      <c r="F38" s="340"/>
      <c r="G38" s="341"/>
      <c r="H38" s="353">
        <f>K38</f>
        <v>0</v>
      </c>
      <c r="I38" s="354"/>
      <c r="K38" s="116">
        <f>'IC Aq'!J29</f>
        <v>0</v>
      </c>
      <c r="L38" s="42"/>
      <c r="M38" s="101" t="s">
        <v>596</v>
      </c>
      <c r="N38" s="42"/>
    </row>
    <row r="39" spans="2:14" x14ac:dyDescent="0.2">
      <c r="B39" s="2">
        <v>2</v>
      </c>
      <c r="C39" s="2"/>
      <c r="D39" s="348" t="s">
        <v>596</v>
      </c>
      <c r="E39" s="349"/>
      <c r="F39" s="352"/>
      <c r="G39" s="341"/>
      <c r="H39" s="353" t="e">
        <f>K39</f>
        <v>#REF!</v>
      </c>
      <c r="I39" s="354"/>
      <c r="K39" s="116" t="e">
        <f>'IC Aq'!#REF!</f>
        <v>#REF!</v>
      </c>
      <c r="L39" s="42"/>
      <c r="M39" s="101" t="s">
        <v>596</v>
      </c>
      <c r="N39" s="42"/>
    </row>
    <row r="40" spans="2:14" x14ac:dyDescent="0.2">
      <c r="B40" s="2"/>
      <c r="C40" s="2"/>
      <c r="D40" s="340"/>
      <c r="E40" s="341"/>
      <c r="F40" s="340"/>
      <c r="G40" s="341"/>
      <c r="H40" s="340"/>
      <c r="I40" s="341"/>
      <c r="K40" s="42"/>
      <c r="L40" s="42"/>
      <c r="M40" s="42"/>
      <c r="N40" s="42"/>
    </row>
    <row r="41" spans="2:14" x14ac:dyDescent="0.2">
      <c r="B41" s="2"/>
      <c r="C41" s="2"/>
      <c r="D41" s="340"/>
      <c r="E41" s="341"/>
      <c r="F41" s="340"/>
      <c r="G41" s="341"/>
      <c r="H41" s="340"/>
      <c r="I41" s="341"/>
      <c r="K41" s="42"/>
      <c r="L41" s="42"/>
      <c r="M41" s="42"/>
      <c r="N41" s="42"/>
    </row>
    <row r="42" spans="2:14" x14ac:dyDescent="0.2">
      <c r="B42" s="2"/>
      <c r="C42" s="2"/>
      <c r="D42" s="340"/>
      <c r="E42" s="341"/>
      <c r="F42" s="340"/>
      <c r="G42" s="341"/>
      <c r="H42" s="340"/>
      <c r="I42" s="341"/>
      <c r="K42" s="42"/>
      <c r="L42" s="42"/>
      <c r="M42" s="42"/>
      <c r="N42" s="42"/>
    </row>
    <row r="43" spans="2:14" x14ac:dyDescent="0.2">
      <c r="B43" s="2"/>
      <c r="C43" s="2"/>
      <c r="D43" s="340"/>
      <c r="E43" s="341"/>
      <c r="F43" s="340"/>
      <c r="G43" s="341"/>
      <c r="H43" s="340"/>
      <c r="I43" s="341"/>
      <c r="K43" s="42"/>
      <c r="L43" s="42"/>
      <c r="M43" s="42"/>
      <c r="N43" s="42"/>
    </row>
    <row r="44" spans="2:14" x14ac:dyDescent="0.2">
      <c r="B44" s="2"/>
      <c r="C44" s="2"/>
      <c r="D44" s="340"/>
      <c r="E44" s="341"/>
      <c r="F44" s="340"/>
      <c r="G44" s="341"/>
      <c r="H44" s="340"/>
      <c r="I44" s="341"/>
    </row>
    <row r="45" spans="2:14" x14ac:dyDescent="0.2">
      <c r="B45" s="2"/>
      <c r="C45" s="2"/>
      <c r="D45" s="340"/>
      <c r="E45" s="341"/>
      <c r="F45" s="340"/>
      <c r="G45" s="341"/>
      <c r="H45" s="340"/>
      <c r="I45" s="341"/>
    </row>
    <row r="46" spans="2:14" x14ac:dyDescent="0.2">
      <c r="B46" s="2"/>
      <c r="C46" s="2"/>
      <c r="D46" s="340"/>
      <c r="E46" s="341"/>
      <c r="F46" s="340"/>
      <c r="G46" s="341"/>
      <c r="H46" s="340"/>
      <c r="I46" s="341"/>
    </row>
    <row r="47" spans="2:14" x14ac:dyDescent="0.2">
      <c r="B47" s="2"/>
      <c r="C47" s="2"/>
      <c r="D47" s="340"/>
      <c r="E47" s="341"/>
      <c r="F47" s="340"/>
      <c r="G47" s="341"/>
      <c r="H47" s="340"/>
      <c r="I47" s="341"/>
    </row>
    <row r="48" spans="2:14" x14ac:dyDescent="0.2">
      <c r="B48" s="2"/>
      <c r="C48" s="2"/>
      <c r="D48" s="340"/>
      <c r="E48" s="341"/>
      <c r="F48" s="345"/>
      <c r="G48" s="346"/>
      <c r="H48" s="340"/>
      <c r="I48" s="341"/>
    </row>
    <row r="49" spans="2:9" x14ac:dyDescent="0.2">
      <c r="B49" s="2"/>
      <c r="C49" s="2"/>
      <c r="D49" s="340"/>
      <c r="E49" s="341"/>
      <c r="F49" s="340"/>
      <c r="G49" s="341"/>
      <c r="H49" s="340"/>
      <c r="I49" s="341"/>
    </row>
    <row r="50" spans="2:9" x14ac:dyDescent="0.2">
      <c r="B50" s="2"/>
      <c r="C50" s="2"/>
      <c r="D50" s="340"/>
      <c r="E50" s="341"/>
      <c r="F50" s="340"/>
      <c r="G50" s="341"/>
      <c r="H50" s="340"/>
      <c r="I50" s="341"/>
    </row>
    <row r="51" spans="2:9" x14ac:dyDescent="0.2">
      <c r="B51" s="2"/>
      <c r="C51" s="2"/>
      <c r="D51" s="340"/>
      <c r="E51" s="341"/>
      <c r="F51" s="340"/>
      <c r="G51" s="341"/>
      <c r="H51" s="340"/>
      <c r="I51" s="341"/>
    </row>
    <row r="52" spans="2:9" x14ac:dyDescent="0.2">
      <c r="B52" s="2"/>
      <c r="C52" s="2"/>
      <c r="D52" s="340"/>
      <c r="E52" s="341"/>
      <c r="F52" s="340"/>
      <c r="G52" s="341"/>
      <c r="H52" s="340"/>
      <c r="I52" s="341"/>
    </row>
    <row r="53" spans="2:9" x14ac:dyDescent="0.2">
      <c r="B53" s="2"/>
      <c r="C53" s="2"/>
      <c r="D53" s="340"/>
      <c r="E53" s="341"/>
      <c r="F53" s="340"/>
      <c r="G53" s="341"/>
      <c r="H53" s="340"/>
      <c r="I53" s="341"/>
    </row>
    <row r="54" spans="2:9" x14ac:dyDescent="0.2">
      <c r="B54" s="2"/>
      <c r="C54" s="2"/>
      <c r="D54" s="340"/>
      <c r="E54" s="341"/>
      <c r="F54" s="340"/>
      <c r="G54" s="341"/>
      <c r="H54" s="340"/>
      <c r="I54" s="341"/>
    </row>
    <row r="55" spans="2:9" x14ac:dyDescent="0.2">
      <c r="B55" s="2"/>
      <c r="C55" s="2"/>
      <c r="D55" s="340"/>
      <c r="E55" s="341"/>
      <c r="F55" s="340"/>
      <c r="G55" s="341"/>
      <c r="H55" s="340"/>
      <c r="I55" s="341"/>
    </row>
    <row r="56" spans="2:9" x14ac:dyDescent="0.2">
      <c r="B56" s="2"/>
      <c r="C56" s="2"/>
      <c r="D56" s="340"/>
      <c r="E56" s="341"/>
      <c r="F56" s="340"/>
      <c r="G56" s="341"/>
      <c r="H56" s="340"/>
      <c r="I56" s="341"/>
    </row>
    <row r="57" spans="2:9" x14ac:dyDescent="0.2">
      <c r="B57" s="2"/>
      <c r="C57" s="2"/>
      <c r="D57" s="340"/>
      <c r="E57" s="341"/>
      <c r="F57" s="340"/>
      <c r="G57" s="341"/>
      <c r="H57" s="340"/>
      <c r="I57" s="341"/>
    </row>
    <row r="58" spans="2:9" x14ac:dyDescent="0.2">
      <c r="B58" s="2"/>
      <c r="C58" s="2"/>
      <c r="D58" s="340"/>
      <c r="E58" s="341"/>
      <c r="F58" s="340"/>
      <c r="G58" s="341"/>
      <c r="H58" s="340"/>
      <c r="I58" s="341"/>
    </row>
    <row r="59" spans="2:9" x14ac:dyDescent="0.2">
      <c r="B59" s="2"/>
      <c r="C59" s="2"/>
      <c r="D59" s="340"/>
      <c r="E59" s="341"/>
      <c r="F59" s="340"/>
      <c r="G59" s="341"/>
      <c r="H59" s="340"/>
      <c r="I59" s="341"/>
    </row>
    <row r="60" spans="2:9" x14ac:dyDescent="0.2">
      <c r="B60" s="2"/>
      <c r="C60" s="2"/>
      <c r="D60" s="340"/>
      <c r="E60" s="341"/>
      <c r="F60" s="340"/>
      <c r="G60" s="341"/>
      <c r="H60" s="340"/>
      <c r="I60" s="341"/>
    </row>
    <row r="61" spans="2:9" x14ac:dyDescent="0.2">
      <c r="B61" s="323" t="str">
        <f>INDEX(PRIJEVODI!B:D,MATCH("PDV-S-015",PRIJEVODI!A:A,0),MATCH(NASLOV!$B$2,PRIJEVODI!$B$1:$D$1,0))</f>
        <v>Gesamtwert</v>
      </c>
      <c r="C61" s="279"/>
      <c r="D61" s="279"/>
      <c r="E61" s="285"/>
      <c r="F61" s="356">
        <f>+F36</f>
        <v>0</v>
      </c>
      <c r="G61" s="285"/>
      <c r="H61" s="356">
        <f>+H37+H38</f>
        <v>0</v>
      </c>
      <c r="I61" s="285"/>
    </row>
    <row r="62" spans="2:9" x14ac:dyDescent="0.2">
      <c r="B62" s="281"/>
      <c r="C62" s="282"/>
      <c r="D62" s="282"/>
      <c r="E62" s="283"/>
      <c r="F62" s="281"/>
      <c r="G62" s="283"/>
      <c r="H62" s="281"/>
      <c r="I62" s="283"/>
    </row>
    <row r="70" spans="2:14" x14ac:dyDescent="0.2">
      <c r="B70" s="275" t="str">
        <f>INDEX(PRIJEVODI!B:D,MATCH("PDV-S-016",PRIJEVODI!A:A,0),MATCH(NASLOV!$B$2,PRIJEVODI!$B$1:$D$1,0))</f>
        <v>Hiermit bestätige ich die Richtigkeit der genannten Daten</v>
      </c>
      <c r="C70" s="294"/>
      <c r="D70" s="294"/>
      <c r="E70" s="294"/>
      <c r="F70" s="294"/>
      <c r="G70" s="294"/>
      <c r="H70" s="291"/>
      <c r="J70" s="275" t="str">
        <f>INDEX(PRIJEVODI!B:D,MATCH("PDV-S-018",PRIJEVODI!A:A,0),MATCH(NASLOV!$B$2,PRIJEVODI!$B$1:$D$1,0))</f>
        <v>Unterschrift     (16)</v>
      </c>
      <c r="K70" s="291"/>
      <c r="L70" s="275"/>
      <c r="M70" s="294"/>
      <c r="N70" s="291"/>
    </row>
    <row r="71" spans="2:14" x14ac:dyDescent="0.2">
      <c r="B71" s="277"/>
      <c r="C71" s="295"/>
      <c r="D71" s="295"/>
      <c r="E71" s="295"/>
      <c r="F71" s="295"/>
      <c r="G71" s="295"/>
      <c r="H71" s="296"/>
      <c r="J71" s="277"/>
      <c r="K71" s="296"/>
      <c r="L71" s="277"/>
      <c r="M71" s="295"/>
      <c r="N71" s="296"/>
    </row>
    <row r="72" spans="2:14" x14ac:dyDescent="0.2">
      <c r="B72" s="324" t="str">
        <f>INDEX(PRIJEVODI!B:D,MATCH("PDV-S-017",PRIJEVODI!A:A,0),MATCH(NASLOV!$B$2,PRIJEVODI!$B$1:$D$1,0))</f>
        <v>Berechnung verfasst von (Name und Nachname)  (15)</v>
      </c>
      <c r="C72" s="325"/>
      <c r="D72" s="326"/>
      <c r="E72" s="275" t="s">
        <v>568</v>
      </c>
      <c r="F72" s="294"/>
      <c r="G72" s="294"/>
      <c r="H72" s="291"/>
      <c r="J72" s="262" t="str">
        <f>INDEX(PRIJEVODI!B:D,MATCH("PDV-S-019",PRIJEVODI!A:A,0),MATCH(NASLOV!$B$2,PRIJEVODI!$B$1:$D$1,0))</f>
        <v>Telefonnummer / Fax /E-Mail  (17)</v>
      </c>
      <c r="K72" s="263"/>
      <c r="L72" s="347" t="s">
        <v>569</v>
      </c>
      <c r="M72" s="337"/>
      <c r="N72" s="263"/>
    </row>
    <row r="73" spans="2:14" ht="24" customHeight="1" x14ac:dyDescent="0.2">
      <c r="B73" s="327"/>
      <c r="C73" s="328"/>
      <c r="D73" s="329"/>
      <c r="E73" s="277"/>
      <c r="F73" s="295"/>
      <c r="G73" s="295"/>
      <c r="H73" s="296"/>
      <c r="J73" s="266"/>
      <c r="K73" s="267"/>
      <c r="L73" s="266"/>
      <c r="M73" s="339"/>
      <c r="N73" s="267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05" t="s">
        <v>592</v>
      </c>
      <c r="B1" s="105" t="s">
        <v>593</v>
      </c>
    </row>
    <row r="2" spans="1:2" ht="15" x14ac:dyDescent="0.25">
      <c r="A2" s="106">
        <v>44044</v>
      </c>
      <c r="B2" s="105">
        <v>7.4844850000000003</v>
      </c>
    </row>
    <row r="3" spans="1:2" ht="15" x14ac:dyDescent="0.25">
      <c r="A3" s="106">
        <v>44045</v>
      </c>
      <c r="B3" s="105">
        <v>7.4844850000000003</v>
      </c>
    </row>
    <row r="4" spans="1:2" ht="15" x14ac:dyDescent="0.25">
      <c r="A4" s="106">
        <v>44046</v>
      </c>
      <c r="B4" s="105">
        <v>7.4844850000000003</v>
      </c>
    </row>
    <row r="5" spans="1:2" ht="15" x14ac:dyDescent="0.25">
      <c r="A5" s="106">
        <v>44047</v>
      </c>
      <c r="B5" s="105">
        <v>7.4804599999999999</v>
      </c>
    </row>
    <row r="6" spans="1:2" ht="15" x14ac:dyDescent="0.25">
      <c r="A6" s="106">
        <v>44048</v>
      </c>
      <c r="B6" s="105">
        <v>7.4696179999999996</v>
      </c>
    </row>
    <row r="7" spans="1:2" ht="15" x14ac:dyDescent="0.25">
      <c r="A7" s="106">
        <v>44049</v>
      </c>
      <c r="B7" s="105">
        <v>7.4696179999999996</v>
      </c>
    </row>
    <row r="8" spans="1:2" ht="15" x14ac:dyDescent="0.25">
      <c r="A8" s="106">
        <v>44050</v>
      </c>
      <c r="B8" s="105">
        <v>7.4676099999999996</v>
      </c>
    </row>
    <row r="9" spans="1:2" ht="15" x14ac:dyDescent="0.25">
      <c r="A9" s="106">
        <v>44051</v>
      </c>
      <c r="B9" s="105">
        <v>7.4619070000000001</v>
      </c>
    </row>
    <row r="10" spans="1:2" ht="15" x14ac:dyDescent="0.25">
      <c r="A10" s="106">
        <v>44052</v>
      </c>
      <c r="B10" s="105">
        <v>7.4619070000000001</v>
      </c>
    </row>
    <row r="11" spans="1:2" ht="15" x14ac:dyDescent="0.25">
      <c r="A11" s="106">
        <v>44053</v>
      </c>
      <c r="B11" s="105">
        <v>7.4619070000000001</v>
      </c>
    </row>
    <row r="12" spans="1:2" ht="15" x14ac:dyDescent="0.25">
      <c r="A12" s="106">
        <v>44054</v>
      </c>
      <c r="B12" s="105">
        <v>7.4572430000000001</v>
      </c>
    </row>
    <row r="13" spans="1:2" ht="15" x14ac:dyDescent="0.25">
      <c r="A13" s="106">
        <v>44055</v>
      </c>
      <c r="B13" s="105">
        <v>7.4639470000000001</v>
      </c>
    </row>
    <row r="14" spans="1:2" ht="15" x14ac:dyDescent="0.25">
      <c r="A14" s="106">
        <v>44056</v>
      </c>
      <c r="B14" s="105">
        <v>7.4771850000000004</v>
      </c>
    </row>
    <row r="15" spans="1:2" ht="15" x14ac:dyDescent="0.25">
      <c r="A15" s="106">
        <v>44057</v>
      </c>
      <c r="B15" s="105">
        <v>7.4775299999999998</v>
      </c>
    </row>
    <row r="16" spans="1:2" ht="15" x14ac:dyDescent="0.25">
      <c r="A16" s="106">
        <v>44058</v>
      </c>
      <c r="B16" s="105">
        <v>7.4989460000000001</v>
      </c>
    </row>
    <row r="17" spans="1:2" ht="15" x14ac:dyDescent="0.25">
      <c r="A17" s="106">
        <v>44059</v>
      </c>
      <c r="B17" s="105">
        <v>7.4989460000000001</v>
      </c>
    </row>
    <row r="18" spans="1:2" ht="15" x14ac:dyDescent="0.25">
      <c r="A18" s="106">
        <v>44060</v>
      </c>
      <c r="B18" s="105">
        <v>7.4989460000000001</v>
      </c>
    </row>
    <row r="19" spans="1:2" ht="15" x14ac:dyDescent="0.25">
      <c r="A19" s="106">
        <v>44061</v>
      </c>
      <c r="B19" s="105">
        <v>7.5233439999999998</v>
      </c>
    </row>
    <row r="20" spans="1:2" ht="15" x14ac:dyDescent="0.25">
      <c r="A20" s="106">
        <v>44062</v>
      </c>
      <c r="B20" s="105">
        <v>7.520359</v>
      </c>
    </row>
    <row r="21" spans="1:2" ht="15" x14ac:dyDescent="0.25">
      <c r="A21" s="106">
        <v>44063</v>
      </c>
      <c r="B21" s="105">
        <v>7.5247999999999999</v>
      </c>
    </row>
    <row r="22" spans="1:2" ht="15" x14ac:dyDescent="0.25">
      <c r="A22" s="106">
        <v>44064</v>
      </c>
      <c r="B22" s="105">
        <v>7.5261110000000002</v>
      </c>
    </row>
    <row r="23" spans="1:2" ht="15" x14ac:dyDescent="0.25">
      <c r="A23" s="106">
        <v>44065</v>
      </c>
      <c r="B23" s="105">
        <v>7.5255679999999998</v>
      </c>
    </row>
    <row r="24" spans="1:2" ht="15" x14ac:dyDescent="0.25">
      <c r="A24" s="106">
        <v>44066</v>
      </c>
      <c r="B24" s="105">
        <v>7.5255679999999998</v>
      </c>
    </row>
    <row r="25" spans="1:2" ht="15" x14ac:dyDescent="0.25">
      <c r="A25" s="106">
        <v>44067</v>
      </c>
      <c r="B25" s="105">
        <v>7.5255679999999998</v>
      </c>
    </row>
    <row r="26" spans="1:2" ht="15" x14ac:dyDescent="0.25">
      <c r="A26" s="106">
        <v>44068</v>
      </c>
      <c r="B26" s="105">
        <v>7.521439</v>
      </c>
    </row>
    <row r="27" spans="1:2" ht="15" x14ac:dyDescent="0.25">
      <c r="A27" s="106">
        <v>44069</v>
      </c>
      <c r="B27" s="105">
        <v>7.5273529999999997</v>
      </c>
    </row>
    <row r="28" spans="1:2" ht="15" x14ac:dyDescent="0.25">
      <c r="A28" s="106">
        <v>44070</v>
      </c>
      <c r="B28" s="105">
        <v>7.5241870000000004</v>
      </c>
    </row>
    <row r="29" spans="1:2" ht="15" x14ac:dyDescent="0.25">
      <c r="A29" s="106">
        <v>44071</v>
      </c>
      <c r="B29" s="105">
        <v>7.5210140000000001</v>
      </c>
    </row>
    <row r="30" spans="1:2" ht="15" x14ac:dyDescent="0.25">
      <c r="A30" s="106">
        <v>44072</v>
      </c>
      <c r="B30" s="105">
        <v>7.5191929999999996</v>
      </c>
    </row>
    <row r="31" spans="1:2" ht="15" x14ac:dyDescent="0.25">
      <c r="A31" s="106">
        <v>44073</v>
      </c>
      <c r="B31" s="105">
        <v>7.5191929999999996</v>
      </c>
    </row>
    <row r="32" spans="1:2" ht="15" x14ac:dyDescent="0.25">
      <c r="A32" s="106">
        <v>44074</v>
      </c>
      <c r="B32" s="105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11"/>
    </row>
    <row r="5" spans="1:6" x14ac:dyDescent="0.2">
      <c r="B5" s="111"/>
    </row>
    <row r="6" spans="1:6" x14ac:dyDescent="0.2">
      <c r="B6" s="111"/>
    </row>
    <row r="7" spans="1:6" x14ac:dyDescent="0.2">
      <c r="B7" s="111"/>
    </row>
    <row r="8" spans="1:6" x14ac:dyDescent="0.2">
      <c r="B8" s="111"/>
    </row>
    <row r="9" spans="1:6" x14ac:dyDescent="0.2">
      <c r="B9" s="111"/>
    </row>
    <row r="10" spans="1:6" x14ac:dyDescent="0.2">
      <c r="A10" s="110"/>
      <c r="B10" s="111"/>
    </row>
    <row r="11" spans="1:6" x14ac:dyDescent="0.2">
      <c r="B11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0" t="s">
        <v>138</v>
      </c>
      <c r="B2" s="40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51" t="s">
        <v>585</v>
      </c>
      <c r="C13" s="51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02"/>
  <sheetViews>
    <sheetView showZeros="0" tabSelected="1" view="pageBreakPreview" zoomScale="86" zoomScaleNormal="85" zoomScaleSheetLayoutView="86" workbookViewId="0">
      <selection activeCell="U38" sqref="U38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3" x14ac:dyDescent="0.2">
      <c r="A1" s="272" t="str">
        <f>NASLOV!B5</f>
        <v>Markus Renz</v>
      </c>
      <c r="B1" s="272"/>
      <c r="C1" s="272"/>
      <c r="D1" s="272"/>
      <c r="E1" s="272"/>
      <c r="F1" s="272"/>
    </row>
    <row r="2" spans="1:23" x14ac:dyDescent="0.2">
      <c r="A2" s="272"/>
      <c r="B2" s="272"/>
      <c r="C2" s="272"/>
      <c r="D2" s="272"/>
      <c r="E2" s="272"/>
      <c r="F2" s="272"/>
      <c r="U2" s="237"/>
      <c r="V2" s="237"/>
      <c r="W2" s="22"/>
    </row>
    <row r="3" spans="1:23" x14ac:dyDescent="0.2">
      <c r="C3" s="237" t="str">
        <f>INDEX(PRIJEVODI!B:D,MATCH("IRA-001",PRIJEVODI!A:A,0),MATCH(NASLOV!$B$2,PRIJEVODI!$B$1:$D$1,0))</f>
        <v>STEUERPFLICHTIGER: TITEL /NAME UND NACHNAME</v>
      </c>
      <c r="D3" s="237"/>
      <c r="E3" s="237"/>
      <c r="F3" s="237"/>
    </row>
    <row r="4" spans="1:23" x14ac:dyDescent="0.2">
      <c r="C4" s="271" t="str">
        <f>NASLOV!B7</f>
        <v>Am Sonnblick 6, Lichtenau</v>
      </c>
      <c r="D4" s="271"/>
      <c r="E4" s="271"/>
      <c r="F4" s="271"/>
    </row>
    <row r="5" spans="1:23" x14ac:dyDescent="0.2">
      <c r="C5" s="271"/>
      <c r="D5" s="271"/>
      <c r="E5" s="271"/>
      <c r="F5" s="271"/>
    </row>
    <row r="6" spans="1:23" x14ac:dyDescent="0.2">
      <c r="C6" s="237" t="str">
        <f>INDEX(PRIJEVODI!B:D,MATCH("IRA-002",PRIJEVODI!A:A,0),MATCH(NASLOV!$B$2,PRIJEVODI!$B$1:$D$1,0))</f>
        <v>ADRESSE: ORT, STRASSE UND HAUSNUMMER</v>
      </c>
      <c r="D6" s="237"/>
      <c r="E6" s="237"/>
      <c r="F6" s="237"/>
    </row>
    <row r="7" spans="1:23" x14ac:dyDescent="0.2">
      <c r="C7" s="273"/>
      <c r="D7" s="273"/>
      <c r="E7" s="273"/>
      <c r="F7" s="273"/>
    </row>
    <row r="8" spans="1:23" x14ac:dyDescent="0.2">
      <c r="C8" s="273"/>
      <c r="D8" s="273"/>
      <c r="E8" s="273"/>
      <c r="F8" s="273"/>
    </row>
    <row r="9" spans="1:23" x14ac:dyDescent="0.2">
      <c r="C9" s="237" t="str">
        <f>INDEX(PRIJEVODI!B:D,MATCH("IRA-003",PRIJEVODI!A:A,0),MATCH(NASLOV!$B$2,PRIJEVODI!$B$1:$D$1,0))</f>
        <v>NUMMERIERUNG GEMÄSS DEM NATIONALEN KLASSIFIZIERUNGSSYSTEM</v>
      </c>
      <c r="D9" s="237"/>
      <c r="E9" s="237"/>
      <c r="F9" s="237"/>
    </row>
    <row r="10" spans="1:23" x14ac:dyDescent="0.2">
      <c r="C10" s="237"/>
      <c r="D10" s="237"/>
      <c r="E10" s="237"/>
      <c r="F10" s="237"/>
    </row>
    <row r="11" spans="1:23" x14ac:dyDescent="0.2">
      <c r="C11" s="271" t="str">
        <f>NASLOV!B9</f>
        <v>HR6411581446</v>
      </c>
      <c r="D11" s="271"/>
      <c r="E11" s="271"/>
      <c r="F11" s="271"/>
    </row>
    <row r="12" spans="1:23" x14ac:dyDescent="0.2">
      <c r="C12" s="271"/>
      <c r="D12" s="271"/>
      <c r="E12" s="271"/>
      <c r="F12" s="271"/>
    </row>
    <row r="13" spans="1:23" x14ac:dyDescent="0.2">
      <c r="C13" s="237" t="str">
        <f>INDEX(PRIJEVODI!B:D,MATCH("IRA-004",PRIJEVODI!A:A,0),MATCH(NASLOV!$B$2,PRIJEVODI!$B$1:$D$1,0))</f>
        <v>STEUERNUMMER (UID)</v>
      </c>
      <c r="D13" s="237"/>
      <c r="E13" s="237"/>
      <c r="F13" s="237"/>
    </row>
    <row r="15" spans="1:23" x14ac:dyDescent="0.2">
      <c r="G15" s="238" t="str">
        <f>INDEX(PRIJEVODI!B:D,MATCH("IRA-005",PRIJEVODI!A:A,0),MATCH(NASLOV!$B$2,PRIJEVODI!$B$1:$D$1,0))</f>
        <v>AUSGANGSRECHNUNGSBUCH</v>
      </c>
      <c r="H15" s="239"/>
      <c r="I15" s="239"/>
      <c r="J15" s="239"/>
      <c r="K15" s="239"/>
      <c r="M15" s="274" t="s">
        <v>591</v>
      </c>
      <c r="N15" s="274"/>
      <c r="O15" s="274"/>
      <c r="P15" s="278"/>
      <c r="Q15" s="278"/>
      <c r="R15" s="278"/>
    </row>
    <row r="16" spans="1:23" x14ac:dyDescent="0.2">
      <c r="G16" s="239"/>
      <c r="H16" s="239"/>
      <c r="I16" s="239"/>
      <c r="J16" s="239"/>
      <c r="K16" s="239"/>
      <c r="M16" s="274"/>
      <c r="N16" s="274"/>
      <c r="O16" s="274"/>
      <c r="P16" s="278"/>
      <c r="Q16" s="278"/>
      <c r="R16" s="278"/>
    </row>
    <row r="17" spans="2:24" x14ac:dyDescent="0.2">
      <c r="T17" s="239" t="str">
        <f>INDEX(PRIJEVODI!B:D,MATCH("IRA-006",PRIJEVODI!A:A,0),MATCH(NASLOV!$B$2,PRIJEVODI!$B$1:$D$1,0))</f>
        <v>BETRAG IN KUNA UND LIPA</v>
      </c>
      <c r="U17" s="239"/>
      <c r="V17" s="239"/>
      <c r="W17" s="239"/>
    </row>
    <row r="18" spans="2:24" x14ac:dyDescent="0.2">
      <c r="X18" s="68"/>
    </row>
    <row r="19" spans="2:24" x14ac:dyDescent="0.2">
      <c r="B19" s="246" t="str">
        <f>INDEX(PRIJEVODI!B:D,MATCH("IRA-007",PRIJEVODI!A:A,0),MATCH(NASLOV!$B$2,PRIJEVODI!$B$1:$D$1,0))</f>
        <v xml:space="preserve">ORDNUNGSNUMMER </v>
      </c>
      <c r="C19" s="249" t="str">
        <f>INDEX(PRIJEVODI!B:D,MATCH("IRA-008",PRIJEVODI!A:A,0),MATCH(NASLOV!$B$2,PRIJEVODI!$B$1:$D$1,0))</f>
        <v>RECHNUNG</v>
      </c>
      <c r="D19" s="250"/>
      <c r="E19" s="253" t="str">
        <f>INDEX(PRIJEVODI!B:D,MATCH("IRA-011",PRIJEVODI!A:A,0),MATCH(NASLOV!$B$2,PRIJEVODI!$B$1:$D$1,0))</f>
        <v>KUNDE (EMPFÄNGER VON GÜTERN ODER DIENSTLEISTUNGEN)</v>
      </c>
      <c r="F19" s="254"/>
      <c r="G19" s="255"/>
      <c r="H19" s="243" t="str">
        <f>INDEX(PRIJEVODI!B:D,MATCH("IRA-014",PRIJEVODI!A:A,0),MATCH(NASLOV!$B$2,PRIJEVODI!$B$1:$D$1,0))</f>
        <v>BETRAG (inklusive Mehrwertsteuern)</v>
      </c>
      <c r="I19" s="249" t="str">
        <f>INDEX(PRIJEVODI!B:D,MATCH("IRA-015",PRIJEVODI!A:A,0),MATCH(NASLOV!$B$2,PRIJEVODI!$B$1:$D$1,0))</f>
        <v xml:space="preserve">STEUER- UND MEHRWERTSTERERFREIE ERTRÄGE </v>
      </c>
      <c r="J19" s="279"/>
      <c r="K19" s="279"/>
      <c r="L19" s="279"/>
      <c r="M19" s="279"/>
      <c r="N19" s="279"/>
      <c r="O19" s="279"/>
      <c r="P19" s="279"/>
      <c r="Q19" s="279"/>
      <c r="R19" s="285"/>
      <c r="S19" s="249" t="str">
        <f>INDEX(PRIJEVODI!B:D,MATCH("IRA-026",PRIJEVODI!A:A,0),MATCH(NASLOV!$B$2,PRIJEVODI!$B$1:$D$1,0))</f>
        <v xml:space="preserve">STEUERPFLICHTIG </v>
      </c>
      <c r="T19" s="279"/>
      <c r="U19" s="279"/>
      <c r="V19" s="279"/>
      <c r="W19" s="279"/>
      <c r="X19" s="280"/>
    </row>
    <row r="20" spans="2:24" ht="12.75" customHeight="1" x14ac:dyDescent="0.2">
      <c r="B20" s="247"/>
      <c r="C20" s="251"/>
      <c r="D20" s="252"/>
      <c r="E20" s="256"/>
      <c r="F20" s="257"/>
      <c r="G20" s="258"/>
      <c r="H20" s="244"/>
      <c r="I20" s="281"/>
      <c r="J20" s="282"/>
      <c r="K20" s="282"/>
      <c r="L20" s="282"/>
      <c r="M20" s="282"/>
      <c r="N20" s="282"/>
      <c r="O20" s="282"/>
      <c r="P20" s="282"/>
      <c r="Q20" s="282"/>
      <c r="R20" s="283"/>
      <c r="S20" s="281"/>
      <c r="T20" s="282"/>
      <c r="U20" s="282"/>
      <c r="V20" s="282"/>
      <c r="W20" s="282"/>
      <c r="X20" s="283"/>
    </row>
    <row r="21" spans="2:24" ht="12.75" customHeight="1" x14ac:dyDescent="0.2">
      <c r="B21" s="247"/>
      <c r="C21" s="259" t="str">
        <f>INDEX(PRIJEVODI!B:D,MATCH("IRA-009",PRIJEVODI!A:A,0),MATCH(NASLOV!$B$2,PRIJEVODI!$B$1:$D$1,0))</f>
        <v xml:space="preserve">NUMMER </v>
      </c>
      <c r="D21" s="259" t="str">
        <f>INDEX(PRIJEVODI!B:D,MATCH("IRA-010",PRIJEVODI!A:A,0),MATCH(NASLOV!$B$2,PRIJEVODI!$B$1:$D$1,0))</f>
        <v>DATUM</v>
      </c>
      <c r="E21" s="262" t="str">
        <f>INDEX(PRIJEVODI!B:D,MATCH("IRA-012",PRIJEVODI!A:A,0),MATCH(NASLOV!$B$2,PRIJEVODI!$B$1:$D$1,0))</f>
        <v>TITEL - NAME UND NACHNAME UND GESCHÄFTSSITZ / SITZORT</v>
      </c>
      <c r="F21" s="263"/>
      <c r="G21" s="268" t="str">
        <f>INDEX(PRIJEVODI!B:D,MATCH("IRA-013",PRIJEVODI!A:A,0),MATCH(NASLOV!$B$2,PRIJEVODI!$B$1:$D$1,0))</f>
        <v>STEUERNUMMER (UID)</v>
      </c>
      <c r="H21" s="244"/>
      <c r="I21" s="240" t="str">
        <f>INDEX(PRIJEVODI!B:D,MATCH("IRA-016",PRIJEVODI!A:A,0),MATCH(NASLOV!$B$2,PRIJEVODI!$B$1:$D$1,0))</f>
        <v>INLAND ÜBERTRAGUNG DER STEUERPFLICHT</v>
      </c>
      <c r="J21" s="240" t="str">
        <f>INDEX(PRIJEVODI!B:D,MATCH("IRA-017",PRIJEVODI!A:A,0),MATCH(NASLOV!$B$2,PRIJEVODI!$B$1:$D$1,0))</f>
        <v>LIEFERUNG VON GÜTERN IN ANDERE EU MITGLIEDSTAATEN</v>
      </c>
      <c r="K21" s="240" t="str">
        <f>INDEX(PRIJEVODI!B:D,MATCH("IRA-018",PRIJEVODI!A:A,0),MATCH(NASLOV!$B$2,PRIJEVODI!$B$1:$D$1,0))</f>
        <v>LIEFERUNG VON GÜTERN INNERHALB DER EU</v>
      </c>
      <c r="L21" s="240" t="str">
        <f>INDEX(PRIJEVODI!B:D,MATCH("IRA-019",PRIJEVODI!A:A,0),MATCH(NASLOV!$B$2,PRIJEVODI!$B$1:$D$1,0))</f>
        <v>ERBRACHTE DIENSTLEISTUNGEN INNERHALB DER EU</v>
      </c>
      <c r="M21" s="240" t="str">
        <f>INDEX(PRIJEVODI!B:D,MATCH("IRA-020",PRIJEVODI!A:A,0),MATCH(NASLOV!$B$2,PRIJEVODI!$B$1:$D$1,0))</f>
        <v xml:space="preserve">ERBRACHTE DIENSTLEISTUNGEN AN PERSONEN OHNE SITZ IN KROATIEN   </v>
      </c>
      <c r="N21" s="240" t="str">
        <f>INDEX(PRIJEVODI!B:D,MATCH("IRA-021",PRIJEVODI!A:A,0),MATCH(NASLOV!$B$2,PRIJEVODI!$B$1:$D$1,0))</f>
        <v>MONTAGE UND INSTALLATION VON GÜTERN IN EINEM ANDEREN EU MITGLIEDSTAAT</v>
      </c>
      <c r="O21" s="240" t="str">
        <f>INDEX(PRIJEVODI!B:D,MATCH("IRA-022",PRIJEVODI!A:A,0),MATCH(NASLOV!$B$2,PRIJEVODI!$B$1:$D$1,0))</f>
        <v>LIEFERUNG NEUER TRANSPORTMITTEL (NTM) IN DIE EU</v>
      </c>
      <c r="P21" s="240" t="str">
        <f>INDEX(PRIJEVODI!B:D,MATCH("IRA-023",PRIJEVODI!A:A,0),MATCH(NASLOV!$B$2,PRIJEVODI!$B$1:$D$1,0))</f>
        <v>IM INLAND</v>
      </c>
      <c r="Q21" s="240" t="str">
        <f>INDEX(PRIJEVODI!B:D,MATCH("IRA-024",PRIJEVODI!A:A,0),MATCH(NASLOV!$B$2,PRIJEVODI!$B$1:$D$1,0))</f>
        <v>EXPORTLIEFERUNG</v>
      </c>
      <c r="R21" s="240" t="str">
        <f>INDEX(PRIJEVODI!B:D,MATCH("IRA-025",PRIJEVODI!A:A,0),MATCH(NASLOV!$B$2,PRIJEVODI!$B$1:$D$1,0))</f>
        <v>SONSTIGE STEUERBEFREIUNGEN</v>
      </c>
      <c r="S21" s="284">
        <v>0.05</v>
      </c>
      <c r="T21" s="285"/>
      <c r="U21" s="284">
        <v>0.13</v>
      </c>
      <c r="V21" s="285"/>
      <c r="W21" s="284">
        <v>0.25</v>
      </c>
      <c r="X21" s="285"/>
    </row>
    <row r="22" spans="2:24" x14ac:dyDescent="0.2">
      <c r="B22" s="247"/>
      <c r="C22" s="260"/>
      <c r="D22" s="260"/>
      <c r="E22" s="264"/>
      <c r="F22" s="265"/>
      <c r="G22" s="269"/>
      <c r="H22" s="244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81"/>
      <c r="T22" s="283"/>
      <c r="U22" s="281"/>
      <c r="V22" s="283"/>
      <c r="W22" s="281"/>
      <c r="X22" s="283"/>
    </row>
    <row r="23" spans="2:24" x14ac:dyDescent="0.2">
      <c r="B23" s="247"/>
      <c r="C23" s="260"/>
      <c r="D23" s="260"/>
      <c r="E23" s="264"/>
      <c r="F23" s="265"/>
      <c r="G23" s="269"/>
      <c r="H23" s="244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59" t="str">
        <f>INDEX(PRIJEVODI!B:D,MATCH("IRA-028",PRIJEVODI!A:A,0),MATCH(NASLOV!$B$2,PRIJEVODI!$B$1:$D$1,0))</f>
        <v>LIEFERWERT</v>
      </c>
      <c r="T23" s="259" t="str">
        <f>INDEX(PRIJEVODI!B:D,MATCH("IRA-029",PRIJEVODI!A:A,0),MATCH(NASLOV!$B$2,PRIJEVODI!$B$1:$D$1,0))</f>
        <v>STEUER</v>
      </c>
      <c r="U23" s="259" t="str">
        <f>INDEX(PRIJEVODI!B:D,MATCH("IRA-031",PRIJEVODI!A:A,0),MATCH(NASLOV!$B$2,PRIJEVODI!$B$1:$D$1,0))</f>
        <v>LIEFERWERT</v>
      </c>
      <c r="V23" s="259" t="str">
        <f>INDEX(PRIJEVODI!B:D,MATCH("IRA-032",PRIJEVODI!A:A,0),MATCH(NASLOV!$B$2,PRIJEVODI!$B$1:$D$1,0))</f>
        <v>STEUER</v>
      </c>
      <c r="W23" s="275" t="str">
        <f>INDEX(PRIJEVODI!B:D,MATCH("IRA-034",PRIJEVODI!A:A,0),MATCH(NASLOV!$B$2,PRIJEVODI!$B$1:$D$1,0))</f>
        <v>LIEFERWERT</v>
      </c>
      <c r="X23" s="259" t="str">
        <f>INDEX(PRIJEVODI!B:D,MATCH("IRA-035",PRIJEVODI!A:A,0),MATCH(NASLOV!$B$2,PRIJEVODI!$B$1:$D$1,0))</f>
        <v>STEUER</v>
      </c>
    </row>
    <row r="24" spans="2:24" x14ac:dyDescent="0.2">
      <c r="B24" s="247"/>
      <c r="C24" s="260"/>
      <c r="D24" s="260"/>
      <c r="E24" s="264"/>
      <c r="F24" s="265"/>
      <c r="G24" s="269"/>
      <c r="H24" s="244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60"/>
      <c r="T24" s="260"/>
      <c r="U24" s="260"/>
      <c r="V24" s="260"/>
      <c r="W24" s="276"/>
      <c r="X24" s="260"/>
    </row>
    <row r="25" spans="2:24" x14ac:dyDescent="0.2">
      <c r="B25" s="247"/>
      <c r="C25" s="260"/>
      <c r="D25" s="260"/>
      <c r="E25" s="264"/>
      <c r="F25" s="265"/>
      <c r="G25" s="269"/>
      <c r="H25" s="244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60"/>
      <c r="T25" s="260"/>
      <c r="U25" s="260"/>
      <c r="V25" s="260"/>
      <c r="W25" s="276"/>
      <c r="X25" s="260"/>
    </row>
    <row r="26" spans="2:24" x14ac:dyDescent="0.2">
      <c r="B26" s="247"/>
      <c r="C26" s="260"/>
      <c r="D26" s="260"/>
      <c r="E26" s="264"/>
      <c r="F26" s="265"/>
      <c r="G26" s="269"/>
      <c r="H26" s="244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60"/>
      <c r="T26" s="260"/>
      <c r="U26" s="260"/>
      <c r="V26" s="260"/>
      <c r="W26" s="276"/>
      <c r="X26" s="260"/>
    </row>
    <row r="27" spans="2:24" ht="17.25" customHeight="1" x14ac:dyDescent="0.2">
      <c r="B27" s="248"/>
      <c r="C27" s="261"/>
      <c r="D27" s="261"/>
      <c r="E27" s="266"/>
      <c r="F27" s="267"/>
      <c r="G27" s="270"/>
      <c r="H27" s="245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61"/>
      <c r="T27" s="261"/>
      <c r="U27" s="261"/>
      <c r="V27" s="261"/>
      <c r="W27" s="277"/>
      <c r="X27" s="261"/>
    </row>
    <row r="28" spans="2:24" x14ac:dyDescent="0.2">
      <c r="B28" s="3">
        <v>1</v>
      </c>
      <c r="C28" s="3">
        <v>2</v>
      </c>
      <c r="D28" s="3">
        <v>3</v>
      </c>
      <c r="E28" s="235">
        <v>4</v>
      </c>
      <c r="F28" s="236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66">
        <v>21</v>
      </c>
      <c r="X28" s="3">
        <v>22</v>
      </c>
    </row>
    <row r="29" spans="2:24" x14ac:dyDescent="0.2">
      <c r="B29" s="69"/>
      <c r="C29" s="85"/>
      <c r="D29" s="88"/>
      <c r="E29" s="79"/>
      <c r="F29" s="79"/>
      <c r="G29" s="79"/>
      <c r="H29" s="30"/>
      <c r="I29" s="81"/>
      <c r="J29" s="81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80">
        <f>+V29/0.13</f>
        <v>0</v>
      </c>
      <c r="V29" s="72"/>
      <c r="W29" s="30"/>
      <c r="X29" s="30"/>
    </row>
    <row r="30" spans="2:24" x14ac:dyDescent="0.2">
      <c r="B30" s="386">
        <v>1</v>
      </c>
      <c r="C30" s="86" t="s">
        <v>635</v>
      </c>
      <c r="D30" s="88">
        <v>45769</v>
      </c>
      <c r="E30" s="75" t="s">
        <v>639</v>
      </c>
      <c r="F30" s="79"/>
      <c r="G30" s="83"/>
      <c r="H30" s="30">
        <f t="shared" ref="H30:H42" si="0">U30+V30</f>
        <v>700.05759999999998</v>
      </c>
      <c r="I30" s="89"/>
      <c r="J30" s="89"/>
      <c r="K30" s="90"/>
      <c r="L30" s="81"/>
      <c r="M30" s="81"/>
      <c r="N30" s="81"/>
      <c r="O30" s="81"/>
      <c r="P30" s="81"/>
      <c r="Q30" s="81"/>
      <c r="R30" s="81"/>
      <c r="S30" s="81"/>
      <c r="T30" s="81"/>
      <c r="U30" s="80">
        <v>619.52</v>
      </c>
      <c r="V30" s="72">
        <f>PRODUCT(U30,0.13)</f>
        <v>80.537599999999998</v>
      </c>
      <c r="W30" s="91"/>
      <c r="X30" s="91"/>
    </row>
    <row r="31" spans="2:24" x14ac:dyDescent="0.2">
      <c r="B31" s="387">
        <v>2</v>
      </c>
      <c r="C31" s="86" t="s">
        <v>640</v>
      </c>
      <c r="D31" s="87">
        <v>45825</v>
      </c>
      <c r="E31" s="75" t="s">
        <v>645</v>
      </c>
      <c r="F31" s="79"/>
      <c r="G31" s="75"/>
      <c r="H31" s="30">
        <f>U31+V31</f>
        <v>2254.915</v>
      </c>
      <c r="I31" s="89"/>
      <c r="J31" s="89"/>
      <c r="K31" s="90"/>
      <c r="L31" s="81"/>
      <c r="M31" s="81"/>
      <c r="N31" s="81"/>
      <c r="O31" s="81"/>
      <c r="P31" s="81"/>
      <c r="Q31" s="81"/>
      <c r="R31" s="81"/>
      <c r="S31" s="81"/>
      <c r="T31" s="81"/>
      <c r="U31" s="80">
        <v>1995.5</v>
      </c>
      <c r="V31" s="72">
        <f>PRODUCT(U31,0.13)</f>
        <v>259.41500000000002</v>
      </c>
      <c r="W31" s="91"/>
      <c r="X31" s="91"/>
    </row>
    <row r="32" spans="2:24" x14ac:dyDescent="0.2">
      <c r="B32" s="386">
        <v>3</v>
      </c>
      <c r="C32" s="86" t="s">
        <v>641</v>
      </c>
      <c r="D32" s="87">
        <v>45833</v>
      </c>
      <c r="E32" s="75" t="s">
        <v>630</v>
      </c>
      <c r="F32" s="79"/>
      <c r="G32" s="75"/>
      <c r="H32" s="30">
        <f t="shared" si="0"/>
        <v>2783.9922999999999</v>
      </c>
      <c r="I32" s="89"/>
      <c r="J32" s="89"/>
      <c r="K32" s="90"/>
      <c r="L32" s="81"/>
      <c r="M32" s="81"/>
      <c r="N32" s="81"/>
      <c r="O32" s="81"/>
      <c r="P32" s="81"/>
      <c r="Q32" s="81"/>
      <c r="R32" s="81"/>
      <c r="S32" s="81"/>
      <c r="T32" s="81"/>
      <c r="U32" s="80">
        <v>2463.71</v>
      </c>
      <c r="V32" s="72">
        <f>PRODUCT(U32,0.13)</f>
        <v>320.28230000000002</v>
      </c>
      <c r="W32" s="91"/>
      <c r="X32" s="91"/>
    </row>
    <row r="33" spans="2:24" x14ac:dyDescent="0.2">
      <c r="B33" s="387">
        <v>4</v>
      </c>
      <c r="C33" s="102" t="s">
        <v>642</v>
      </c>
      <c r="D33" s="87">
        <v>45835</v>
      </c>
      <c r="E33" s="75" t="s">
        <v>646</v>
      </c>
      <c r="F33" s="79"/>
      <c r="G33" s="104"/>
      <c r="H33" s="30">
        <f t="shared" si="0"/>
        <v>1594.1136000000001</v>
      </c>
      <c r="I33" s="89"/>
      <c r="J33" s="89"/>
      <c r="K33" s="90"/>
      <c r="L33" s="81"/>
      <c r="M33" s="81"/>
      <c r="N33" s="81"/>
      <c r="O33" s="81"/>
      <c r="P33" s="81"/>
      <c r="Q33" s="81"/>
      <c r="R33" s="81"/>
      <c r="S33" s="81"/>
      <c r="T33" s="81"/>
      <c r="U33" s="80">
        <v>1410.72</v>
      </c>
      <c r="V33" s="72">
        <f>PRODUCT(U33,0.13)</f>
        <v>183.39360000000002</v>
      </c>
      <c r="W33" s="91"/>
      <c r="X33" s="91"/>
    </row>
    <row r="34" spans="2:24" x14ac:dyDescent="0.2">
      <c r="B34" s="386">
        <v>5</v>
      </c>
      <c r="C34" s="102" t="s">
        <v>643</v>
      </c>
      <c r="D34" s="87">
        <v>45836</v>
      </c>
      <c r="E34" s="75" t="s">
        <v>647</v>
      </c>
      <c r="F34" s="79"/>
      <c r="G34" s="104"/>
      <c r="H34" s="30">
        <f t="shared" si="0"/>
        <v>1148.8936000000001</v>
      </c>
      <c r="I34" s="89"/>
      <c r="J34" s="89"/>
      <c r="K34" s="90"/>
      <c r="L34" s="81"/>
      <c r="M34" s="81"/>
      <c r="N34" s="81"/>
      <c r="O34" s="81"/>
      <c r="P34" s="81"/>
      <c r="Q34" s="81"/>
      <c r="R34" s="81"/>
      <c r="S34" s="81"/>
      <c r="T34" s="81"/>
      <c r="U34" s="80">
        <v>1016.72</v>
      </c>
      <c r="V34" s="72">
        <f t="shared" ref="V34:V35" si="1">PRODUCT(U34,0.13)</f>
        <v>132.17360000000002</v>
      </c>
      <c r="W34" s="91"/>
      <c r="X34" s="91"/>
    </row>
    <row r="35" spans="2:24" x14ac:dyDescent="0.2">
      <c r="B35" s="387">
        <v>6</v>
      </c>
      <c r="C35" s="102" t="s">
        <v>644</v>
      </c>
      <c r="D35" s="87">
        <v>45838</v>
      </c>
      <c r="E35" s="75" t="s">
        <v>648</v>
      </c>
      <c r="F35" s="79"/>
      <c r="G35" s="104"/>
      <c r="H35" s="30">
        <f t="shared" si="0"/>
        <v>441.68310000000002</v>
      </c>
      <c r="I35" s="89"/>
      <c r="J35" s="89"/>
      <c r="K35" s="90"/>
      <c r="L35" s="81"/>
      <c r="M35" s="81"/>
      <c r="N35" s="81"/>
      <c r="O35" s="81"/>
      <c r="P35" s="81"/>
      <c r="Q35" s="81"/>
      <c r="R35" s="81"/>
      <c r="S35" s="81"/>
      <c r="T35" s="81"/>
      <c r="U35" s="80">
        <v>390.87</v>
      </c>
      <c r="V35" s="72">
        <f t="shared" si="1"/>
        <v>50.813100000000006</v>
      </c>
      <c r="W35" s="91"/>
      <c r="X35" s="91"/>
    </row>
    <row r="36" spans="2:24" x14ac:dyDescent="0.2">
      <c r="B36" s="382"/>
      <c r="C36" s="102"/>
      <c r="D36" s="87"/>
      <c r="E36" s="75"/>
      <c r="F36" s="79"/>
      <c r="G36" s="104"/>
      <c r="H36" s="30">
        <f t="shared" si="0"/>
        <v>0</v>
      </c>
      <c r="I36" s="89"/>
      <c r="J36" s="89"/>
      <c r="K36" s="90"/>
      <c r="L36" s="81"/>
      <c r="M36" s="81"/>
      <c r="N36" s="81"/>
      <c r="O36" s="81"/>
      <c r="P36" s="81"/>
      <c r="Q36" s="81"/>
      <c r="R36" s="81"/>
      <c r="S36" s="81"/>
      <c r="T36" s="81"/>
      <c r="U36" s="80">
        <f t="shared" ref="U35:U40" si="2">+V36/0.13</f>
        <v>0</v>
      </c>
      <c r="V36" s="72"/>
      <c r="W36" s="91"/>
      <c r="X36" s="91"/>
    </row>
    <row r="37" spans="2:24" ht="12.75" customHeight="1" x14ac:dyDescent="0.2">
      <c r="B37" s="372"/>
      <c r="C37" s="102"/>
      <c r="D37" s="87"/>
      <c r="E37" s="75"/>
      <c r="F37" s="79"/>
      <c r="G37" s="104"/>
      <c r="H37" s="30">
        <f t="shared" si="0"/>
        <v>0</v>
      </c>
      <c r="I37" s="89"/>
      <c r="J37" s="89"/>
      <c r="K37" s="90"/>
      <c r="L37" s="81"/>
      <c r="M37" s="81"/>
      <c r="N37" s="81"/>
      <c r="O37" s="81"/>
      <c r="P37" s="81"/>
      <c r="Q37" s="81"/>
      <c r="R37" s="81"/>
      <c r="S37" s="81"/>
      <c r="T37" s="81"/>
      <c r="U37" s="80">
        <f t="shared" si="2"/>
        <v>0</v>
      </c>
      <c r="V37" s="72"/>
      <c r="W37" s="91"/>
      <c r="X37" s="91"/>
    </row>
    <row r="38" spans="2:24" x14ac:dyDescent="0.2">
      <c r="B38" s="382"/>
      <c r="C38" s="102"/>
      <c r="D38" s="87"/>
      <c r="E38" s="75"/>
      <c r="F38" s="79"/>
      <c r="G38" s="104"/>
      <c r="H38" s="30">
        <f t="shared" si="0"/>
        <v>0</v>
      </c>
      <c r="I38" s="89"/>
      <c r="J38" s="89"/>
      <c r="K38" s="90"/>
      <c r="L38" s="81"/>
      <c r="M38" s="81"/>
      <c r="N38" s="81"/>
      <c r="O38" s="81"/>
      <c r="P38" s="81"/>
      <c r="Q38" s="81"/>
      <c r="R38" s="81"/>
      <c r="S38" s="81"/>
      <c r="T38" s="81"/>
      <c r="U38" s="80">
        <f t="shared" si="2"/>
        <v>0</v>
      </c>
      <c r="V38" s="72"/>
      <c r="W38" s="91"/>
      <c r="X38" s="91"/>
    </row>
    <row r="39" spans="2:24" ht="13.5" thickBot="1" x14ac:dyDescent="0.25">
      <c r="B39" s="375"/>
      <c r="C39" s="102"/>
      <c r="D39" s="103"/>
      <c r="E39" s="104"/>
      <c r="F39" s="79"/>
      <c r="G39" s="104"/>
      <c r="H39" s="30">
        <f t="shared" si="0"/>
        <v>0</v>
      </c>
      <c r="I39" s="89"/>
      <c r="J39" s="89"/>
      <c r="K39" s="90"/>
      <c r="L39" s="81"/>
      <c r="M39" s="81"/>
      <c r="N39" s="81"/>
      <c r="O39" s="81"/>
      <c r="P39" s="81"/>
      <c r="Q39" s="81"/>
      <c r="R39" s="81"/>
      <c r="S39" s="81"/>
      <c r="T39" s="81"/>
      <c r="U39" s="80">
        <f t="shared" si="2"/>
        <v>0</v>
      </c>
      <c r="V39" s="72"/>
      <c r="W39" s="91"/>
      <c r="X39" s="91"/>
    </row>
    <row r="40" spans="2:24" x14ac:dyDescent="0.2">
      <c r="B40" s="373"/>
      <c r="C40" s="191"/>
      <c r="D40" s="192"/>
      <c r="E40" s="193"/>
      <c r="F40" s="194"/>
      <c r="G40" s="104"/>
      <c r="H40" s="30">
        <f t="shared" si="0"/>
        <v>0</v>
      </c>
      <c r="I40" s="89"/>
      <c r="J40" s="89"/>
      <c r="K40" s="90"/>
      <c r="L40" s="81"/>
      <c r="M40" s="81"/>
      <c r="N40" s="81"/>
      <c r="O40" s="81"/>
      <c r="P40" s="81"/>
      <c r="Q40" s="81"/>
      <c r="R40" s="81"/>
      <c r="S40" s="81"/>
      <c r="T40" s="81"/>
      <c r="U40" s="80">
        <f t="shared" si="2"/>
        <v>0</v>
      </c>
      <c r="V40" s="72"/>
      <c r="W40" s="91"/>
      <c r="X40" s="91"/>
    </row>
    <row r="41" spans="2:24" x14ac:dyDescent="0.2">
      <c r="B41" s="372"/>
      <c r="C41" s="388" t="s">
        <v>634</v>
      </c>
      <c r="D41" s="389"/>
      <c r="E41" s="389"/>
      <c r="F41" s="390"/>
      <c r="G41" s="104"/>
      <c r="H41" s="30">
        <f t="shared" si="0"/>
        <v>0</v>
      </c>
      <c r="I41" s="89"/>
      <c r="J41" s="89"/>
      <c r="K41" s="90"/>
      <c r="L41" s="81"/>
      <c r="M41" s="81"/>
      <c r="N41" s="81"/>
      <c r="O41" s="81"/>
      <c r="P41" s="81"/>
      <c r="Q41" s="81"/>
      <c r="R41" s="81"/>
      <c r="S41" s="81"/>
      <c r="T41" s="81"/>
      <c r="U41" s="80"/>
      <c r="V41" s="72"/>
      <c r="W41" s="91"/>
      <c r="X41" s="91"/>
    </row>
    <row r="42" spans="2:24" ht="13.5" thickBot="1" x14ac:dyDescent="0.25">
      <c r="B42" s="374"/>
      <c r="C42" s="195"/>
      <c r="D42" s="196"/>
      <c r="E42" s="197"/>
      <c r="F42" s="198"/>
      <c r="G42" s="104"/>
      <c r="H42" s="30">
        <f t="shared" si="0"/>
        <v>0</v>
      </c>
      <c r="I42" s="89"/>
      <c r="J42" s="89"/>
      <c r="K42" s="90"/>
      <c r="L42" s="81"/>
      <c r="M42" s="81"/>
      <c r="N42" s="81"/>
      <c r="O42" s="81"/>
      <c r="P42" s="81"/>
      <c r="Q42" s="81"/>
      <c r="R42" s="81"/>
      <c r="S42" s="81"/>
      <c r="T42" s="81"/>
      <c r="U42" s="80"/>
      <c r="V42" s="72"/>
      <c r="W42" s="91"/>
      <c r="X42" s="91"/>
    </row>
    <row r="43" spans="2:24" x14ac:dyDescent="0.2">
      <c r="B43" s="378"/>
      <c r="C43" s="187"/>
      <c r="D43" s="188"/>
      <c r="E43" s="189"/>
      <c r="F43" s="190"/>
      <c r="G43" s="104"/>
      <c r="H43" s="30">
        <f>U43+V43</f>
        <v>0</v>
      </c>
      <c r="I43" s="89"/>
      <c r="J43" s="89"/>
      <c r="K43" s="90"/>
      <c r="L43" s="81"/>
      <c r="M43" s="81"/>
      <c r="N43" s="81"/>
      <c r="O43" s="81"/>
      <c r="P43" s="81"/>
      <c r="Q43" s="81"/>
      <c r="R43" s="81"/>
      <c r="S43" s="81"/>
      <c r="T43" s="81"/>
      <c r="U43" s="80"/>
      <c r="V43" s="72"/>
      <c r="W43" s="91"/>
      <c r="X43" s="91"/>
    </row>
    <row r="44" spans="2:24" x14ac:dyDescent="0.2">
      <c r="B44" s="372"/>
      <c r="C44" s="102"/>
      <c r="D44" s="87"/>
      <c r="E44" s="75"/>
      <c r="F44" s="186"/>
      <c r="G44" s="104"/>
      <c r="H44" s="30">
        <f t="shared" ref="H41:H91" si="3">U44+V44</f>
        <v>0</v>
      </c>
      <c r="I44" s="89"/>
      <c r="J44" s="89"/>
      <c r="K44" s="90"/>
      <c r="L44" s="81"/>
      <c r="M44" s="81"/>
      <c r="N44" s="81"/>
      <c r="O44" s="81"/>
      <c r="P44" s="81"/>
      <c r="Q44" s="81"/>
      <c r="R44" s="81"/>
      <c r="S44" s="81"/>
      <c r="T44" s="81"/>
      <c r="U44" s="80"/>
      <c r="V44" s="72"/>
      <c r="W44" s="91"/>
      <c r="X44" s="91"/>
    </row>
    <row r="45" spans="2:24" x14ac:dyDescent="0.2">
      <c r="B45" s="372"/>
      <c r="C45" s="102"/>
      <c r="D45" s="87"/>
      <c r="E45" s="75"/>
      <c r="F45" s="186"/>
      <c r="G45" s="104"/>
      <c r="H45" s="30">
        <f>U45+V45</f>
        <v>0</v>
      </c>
      <c r="I45" s="89"/>
      <c r="J45" s="89"/>
      <c r="K45" s="90"/>
      <c r="L45" s="81"/>
      <c r="M45" s="81"/>
      <c r="N45" s="81"/>
      <c r="O45" s="81"/>
      <c r="P45" s="81"/>
      <c r="Q45" s="81"/>
      <c r="R45" s="81"/>
      <c r="S45" s="81"/>
      <c r="T45" s="81"/>
      <c r="U45" s="80"/>
      <c r="V45" s="72"/>
      <c r="W45" s="91"/>
      <c r="X45" s="91"/>
    </row>
    <row r="46" spans="2:24" x14ac:dyDescent="0.2">
      <c r="B46" s="372"/>
      <c r="C46" s="102"/>
      <c r="D46" s="87"/>
      <c r="E46" s="75"/>
      <c r="F46" s="83"/>
      <c r="G46" s="104"/>
      <c r="H46" s="30">
        <f t="shared" si="3"/>
        <v>0</v>
      </c>
      <c r="I46" s="89"/>
      <c r="J46" s="89"/>
      <c r="K46" s="90"/>
      <c r="L46" s="81"/>
      <c r="M46" s="81"/>
      <c r="N46" s="81"/>
      <c r="O46" s="81"/>
      <c r="P46" s="81"/>
      <c r="Q46" s="81"/>
      <c r="R46" s="81"/>
      <c r="S46" s="81"/>
      <c r="T46" s="81"/>
      <c r="U46" s="80"/>
      <c r="V46" s="72"/>
      <c r="W46" s="91"/>
      <c r="X46" s="91"/>
    </row>
    <row r="47" spans="2:24" x14ac:dyDescent="0.2">
      <c r="B47" s="372"/>
      <c r="C47" s="102"/>
      <c r="D47" s="87"/>
      <c r="E47" s="75"/>
      <c r="F47" s="75"/>
      <c r="G47" s="104"/>
      <c r="H47" s="30">
        <f t="shared" si="3"/>
        <v>0</v>
      </c>
      <c r="I47" s="89"/>
      <c r="J47" s="89"/>
      <c r="K47" s="90"/>
      <c r="L47" s="81"/>
      <c r="M47" s="81"/>
      <c r="N47" s="81"/>
      <c r="O47" s="81"/>
      <c r="P47" s="81"/>
      <c r="Q47" s="81"/>
      <c r="R47" s="81"/>
      <c r="S47" s="81"/>
      <c r="T47" s="81"/>
      <c r="U47" s="80"/>
      <c r="V47" s="72"/>
      <c r="W47" s="91"/>
      <c r="X47" s="91"/>
    </row>
    <row r="48" spans="2:24" x14ac:dyDescent="0.2">
      <c r="B48" s="372"/>
      <c r="C48" s="102"/>
      <c r="D48" s="87"/>
      <c r="E48" s="75"/>
      <c r="F48" s="104"/>
      <c r="G48" s="104"/>
      <c r="H48" s="30">
        <f t="shared" si="3"/>
        <v>0</v>
      </c>
      <c r="I48" s="89"/>
      <c r="J48" s="89"/>
      <c r="K48" s="90"/>
      <c r="L48" s="81"/>
      <c r="M48" s="81"/>
      <c r="N48" s="81"/>
      <c r="O48" s="81"/>
      <c r="P48" s="81"/>
      <c r="Q48" s="81"/>
      <c r="R48" s="81"/>
      <c r="S48" s="81"/>
      <c r="T48" s="81"/>
      <c r="U48" s="80"/>
      <c r="V48" s="72"/>
      <c r="W48" s="91"/>
      <c r="X48" s="91"/>
    </row>
    <row r="49" spans="2:24" x14ac:dyDescent="0.2">
      <c r="B49" s="372"/>
      <c r="C49" s="102"/>
      <c r="D49" s="87"/>
      <c r="E49" s="104"/>
      <c r="F49" s="104"/>
      <c r="G49" s="104"/>
      <c r="H49" s="30">
        <f t="shared" si="3"/>
        <v>0</v>
      </c>
      <c r="I49" s="89"/>
      <c r="J49" s="89"/>
      <c r="K49" s="90"/>
      <c r="L49" s="81"/>
      <c r="M49" s="81"/>
      <c r="N49" s="81"/>
      <c r="O49" s="81"/>
      <c r="P49" s="81"/>
      <c r="Q49" s="81"/>
      <c r="R49" s="81"/>
      <c r="S49" s="81"/>
      <c r="T49" s="81"/>
      <c r="U49" s="80"/>
      <c r="V49" s="72"/>
      <c r="W49" s="91"/>
      <c r="X49" s="91"/>
    </row>
    <row r="50" spans="2:24" ht="13.5" thickBot="1" x14ac:dyDescent="0.25">
      <c r="B50" s="372"/>
      <c r="C50" s="102"/>
      <c r="D50" s="103"/>
      <c r="E50" s="104"/>
      <c r="F50" s="104"/>
      <c r="G50" s="104"/>
      <c r="H50" s="30">
        <f t="shared" si="3"/>
        <v>0</v>
      </c>
      <c r="I50" s="89"/>
      <c r="J50" s="89"/>
      <c r="K50" s="90"/>
      <c r="L50" s="81"/>
      <c r="M50" s="81"/>
      <c r="N50" s="81"/>
      <c r="O50" s="81"/>
      <c r="P50" s="81"/>
      <c r="Q50" s="81"/>
      <c r="R50" s="81"/>
      <c r="S50" s="81"/>
      <c r="T50" s="81"/>
      <c r="U50" s="80"/>
      <c r="V50" s="72"/>
      <c r="W50" s="91"/>
      <c r="X50" s="91"/>
    </row>
    <row r="51" spans="2:24" x14ac:dyDescent="0.2">
      <c r="B51" s="373"/>
      <c r="C51" s="191"/>
      <c r="D51" s="192"/>
      <c r="E51" s="193"/>
      <c r="F51" s="194"/>
      <c r="G51" s="104"/>
      <c r="H51" s="30">
        <f t="shared" si="3"/>
        <v>0</v>
      </c>
      <c r="I51" s="89"/>
      <c r="J51" s="89"/>
      <c r="K51" s="90"/>
      <c r="L51" s="81"/>
      <c r="M51" s="81"/>
      <c r="N51" s="81"/>
      <c r="O51" s="81"/>
      <c r="P51" s="81"/>
      <c r="Q51" s="81"/>
      <c r="R51" s="81"/>
      <c r="S51" s="81"/>
      <c r="T51" s="81"/>
      <c r="U51" s="80"/>
      <c r="V51" s="72"/>
      <c r="W51" s="91"/>
      <c r="X51" s="91"/>
    </row>
    <row r="52" spans="2:24" x14ac:dyDescent="0.2">
      <c r="B52" s="372"/>
      <c r="C52" s="379" t="s">
        <v>636</v>
      </c>
      <c r="D52" s="380"/>
      <c r="E52" s="380"/>
      <c r="F52" s="381"/>
      <c r="G52" s="104"/>
      <c r="H52" s="30">
        <f t="shared" si="3"/>
        <v>0</v>
      </c>
      <c r="I52" s="89"/>
      <c r="J52" s="89"/>
      <c r="K52" s="90"/>
      <c r="L52" s="81"/>
      <c r="M52" s="81"/>
      <c r="N52" s="81"/>
      <c r="O52" s="81"/>
      <c r="P52" s="81"/>
      <c r="Q52" s="81"/>
      <c r="R52" s="81"/>
      <c r="S52" s="81"/>
      <c r="T52" s="81"/>
      <c r="U52" s="80"/>
      <c r="V52" s="72"/>
      <c r="W52" s="91"/>
      <c r="X52" s="91"/>
    </row>
    <row r="53" spans="2:24" ht="13.5" thickBot="1" x14ac:dyDescent="0.25">
      <c r="B53" s="374"/>
      <c r="C53" s="195" t="s">
        <v>631</v>
      </c>
      <c r="D53" s="196"/>
      <c r="E53" s="197"/>
      <c r="F53" s="198"/>
      <c r="G53" s="104"/>
      <c r="H53" s="30">
        <f t="shared" si="3"/>
        <v>0</v>
      </c>
      <c r="I53" s="89"/>
      <c r="J53" s="89"/>
      <c r="K53" s="90"/>
      <c r="L53" s="81"/>
      <c r="M53" s="81"/>
      <c r="N53" s="81"/>
      <c r="O53" s="81"/>
      <c r="P53" s="81"/>
      <c r="Q53" s="81"/>
      <c r="R53" s="81"/>
      <c r="S53" s="81"/>
      <c r="T53" s="81"/>
      <c r="U53" s="80"/>
      <c r="V53" s="72"/>
      <c r="W53" s="91"/>
      <c r="X53" s="91"/>
    </row>
    <row r="54" spans="2:24" x14ac:dyDescent="0.2">
      <c r="B54" s="372"/>
      <c r="C54" s="102"/>
      <c r="D54" s="103"/>
      <c r="E54" s="104"/>
      <c r="F54" s="104"/>
      <c r="G54" s="104"/>
      <c r="H54" s="30">
        <f t="shared" si="3"/>
        <v>0</v>
      </c>
      <c r="I54" s="89"/>
      <c r="J54" s="89"/>
      <c r="K54" s="90"/>
      <c r="L54" s="81"/>
      <c r="M54" s="81"/>
      <c r="N54" s="81"/>
      <c r="O54" s="81"/>
      <c r="P54" s="81"/>
      <c r="Q54" s="81"/>
      <c r="R54" s="81"/>
      <c r="S54" s="81"/>
      <c r="T54" s="81"/>
      <c r="U54" s="80"/>
      <c r="V54" s="72"/>
      <c r="W54" s="91"/>
      <c r="X54" s="91"/>
    </row>
    <row r="55" spans="2:24" x14ac:dyDescent="0.2">
      <c r="B55" s="372"/>
      <c r="C55" s="102"/>
      <c r="D55" s="103"/>
      <c r="E55" s="104"/>
      <c r="F55" s="104"/>
      <c r="G55" s="104"/>
      <c r="H55" s="30">
        <f t="shared" si="3"/>
        <v>0</v>
      </c>
      <c r="I55" s="89"/>
      <c r="J55" s="89"/>
      <c r="K55" s="90"/>
      <c r="L55" s="81"/>
      <c r="M55" s="81"/>
      <c r="N55" s="81"/>
      <c r="O55" s="81"/>
      <c r="P55" s="81"/>
      <c r="Q55" s="81"/>
      <c r="R55" s="81"/>
      <c r="S55" s="81"/>
      <c r="T55" s="81"/>
      <c r="U55" s="80"/>
      <c r="V55" s="72"/>
      <c r="W55" s="91"/>
      <c r="X55" s="91"/>
    </row>
    <row r="56" spans="2:24" x14ac:dyDescent="0.2">
      <c r="B56" s="372"/>
      <c r="C56" s="102"/>
      <c r="D56" s="103"/>
      <c r="E56" s="104"/>
      <c r="F56" s="104"/>
      <c r="G56" s="104"/>
      <c r="H56" s="30">
        <f t="shared" si="3"/>
        <v>0</v>
      </c>
      <c r="I56" s="89"/>
      <c r="J56" s="89"/>
      <c r="K56" s="90"/>
      <c r="L56" s="81"/>
      <c r="M56" s="81"/>
      <c r="N56" s="81"/>
      <c r="O56" s="81"/>
      <c r="P56" s="81"/>
      <c r="Q56" s="81"/>
      <c r="R56" s="81"/>
      <c r="S56" s="81"/>
      <c r="T56" s="81"/>
      <c r="U56" s="80"/>
      <c r="V56" s="72"/>
      <c r="W56" s="91"/>
      <c r="X56" s="91"/>
    </row>
    <row r="57" spans="2:24" x14ac:dyDescent="0.2">
      <c r="B57" s="372"/>
      <c r="C57" s="102"/>
      <c r="D57" s="103"/>
      <c r="E57" s="104"/>
      <c r="F57" s="104"/>
      <c r="G57" s="104"/>
      <c r="H57" s="30">
        <f t="shared" si="3"/>
        <v>0</v>
      </c>
      <c r="I57" s="89"/>
      <c r="J57" s="89"/>
      <c r="K57" s="90"/>
      <c r="L57" s="81"/>
      <c r="M57" s="81"/>
      <c r="N57" s="81"/>
      <c r="O57" s="81"/>
      <c r="P57" s="81"/>
      <c r="Q57" s="81"/>
      <c r="R57" s="81"/>
      <c r="S57" s="81"/>
      <c r="T57" s="81"/>
      <c r="U57" s="80"/>
      <c r="V57" s="72"/>
      <c r="W57" s="91"/>
      <c r="X57" s="91"/>
    </row>
    <row r="58" spans="2:24" x14ac:dyDescent="0.2">
      <c r="B58" s="372"/>
      <c r="C58" s="102"/>
      <c r="D58" s="103"/>
      <c r="E58" s="104"/>
      <c r="F58" s="104"/>
      <c r="G58" s="104"/>
      <c r="H58" s="30">
        <f t="shared" si="3"/>
        <v>0</v>
      </c>
      <c r="I58" s="89"/>
      <c r="J58" s="89"/>
      <c r="K58" s="90"/>
      <c r="L58" s="81"/>
      <c r="M58" s="81"/>
      <c r="N58" s="81"/>
      <c r="O58" s="81"/>
      <c r="P58" s="81"/>
      <c r="Q58" s="81"/>
      <c r="R58" s="81"/>
      <c r="S58" s="81"/>
      <c r="T58" s="81"/>
      <c r="U58" s="80"/>
      <c r="V58" s="72"/>
      <c r="W58" s="91"/>
      <c r="X58" s="91"/>
    </row>
    <row r="59" spans="2:24" x14ac:dyDescent="0.2">
      <c r="B59" s="372"/>
      <c r="C59" s="102"/>
      <c r="D59" s="103"/>
      <c r="E59" s="104"/>
      <c r="F59" s="104"/>
      <c r="G59" s="104"/>
      <c r="H59" s="30">
        <f t="shared" si="3"/>
        <v>0</v>
      </c>
      <c r="I59" s="89"/>
      <c r="J59" s="89"/>
      <c r="K59" s="90"/>
      <c r="L59" s="81"/>
      <c r="M59" s="81"/>
      <c r="N59" s="81"/>
      <c r="O59" s="81"/>
      <c r="P59" s="81"/>
      <c r="Q59" s="81"/>
      <c r="R59" s="81"/>
      <c r="S59" s="81"/>
      <c r="T59" s="81"/>
      <c r="U59" s="80"/>
      <c r="V59" s="72"/>
      <c r="W59" s="91"/>
      <c r="X59" s="91"/>
    </row>
    <row r="60" spans="2:24" x14ac:dyDescent="0.2">
      <c r="B60" s="372"/>
      <c r="C60" s="102"/>
      <c r="D60" s="103"/>
      <c r="E60" s="104"/>
      <c r="F60" s="104"/>
      <c r="G60" s="104"/>
      <c r="H60" s="30">
        <f t="shared" si="3"/>
        <v>0</v>
      </c>
      <c r="I60" s="89"/>
      <c r="J60" s="89"/>
      <c r="K60" s="90"/>
      <c r="L60" s="81"/>
      <c r="M60" s="81"/>
      <c r="N60" s="81"/>
      <c r="O60" s="81"/>
      <c r="P60" s="81"/>
      <c r="Q60" s="81"/>
      <c r="R60" s="81"/>
      <c r="S60" s="81"/>
      <c r="T60" s="81"/>
      <c r="U60" s="80"/>
      <c r="V60" s="72"/>
      <c r="W60" s="91"/>
      <c r="X60" s="91"/>
    </row>
    <row r="61" spans="2:24" x14ac:dyDescent="0.2">
      <c r="B61" s="372"/>
      <c r="C61" s="102"/>
      <c r="D61" s="103"/>
      <c r="E61" s="104"/>
      <c r="F61" s="104"/>
      <c r="G61" s="104"/>
      <c r="H61" s="30">
        <f t="shared" si="3"/>
        <v>0</v>
      </c>
      <c r="I61" s="89"/>
      <c r="J61" s="89"/>
      <c r="K61" s="90"/>
      <c r="L61" s="81"/>
      <c r="M61" s="81"/>
      <c r="N61" s="81"/>
      <c r="O61" s="81"/>
      <c r="P61" s="81"/>
      <c r="Q61" s="81"/>
      <c r="R61" s="81"/>
      <c r="S61" s="81"/>
      <c r="T61" s="81"/>
      <c r="U61" s="80"/>
      <c r="V61" s="72"/>
      <c r="W61" s="91"/>
      <c r="X61" s="91"/>
    </row>
    <row r="62" spans="2:24" x14ac:dyDescent="0.2">
      <c r="B62" s="372"/>
      <c r="C62" s="102"/>
      <c r="D62" s="103"/>
      <c r="E62" s="104"/>
      <c r="F62" s="104"/>
      <c r="G62" s="104"/>
      <c r="H62" s="30">
        <f t="shared" si="3"/>
        <v>0</v>
      </c>
      <c r="I62" s="89"/>
      <c r="J62" s="89"/>
      <c r="K62" s="90"/>
      <c r="L62" s="81"/>
      <c r="M62" s="81"/>
      <c r="N62" s="81"/>
      <c r="O62" s="81"/>
      <c r="P62" s="81"/>
      <c r="Q62" s="81"/>
      <c r="R62" s="81"/>
      <c r="S62" s="81"/>
      <c r="T62" s="81"/>
      <c r="U62" s="80"/>
      <c r="V62" s="72"/>
      <c r="W62" s="91"/>
      <c r="X62" s="91"/>
    </row>
    <row r="63" spans="2:24" x14ac:dyDescent="0.2">
      <c r="B63" s="372"/>
      <c r="C63" s="102"/>
      <c r="D63" s="103"/>
      <c r="E63" s="104"/>
      <c r="F63" s="104"/>
      <c r="G63" s="104"/>
      <c r="H63" s="30">
        <f t="shared" si="3"/>
        <v>0</v>
      </c>
      <c r="I63" s="89"/>
      <c r="J63" s="89"/>
      <c r="K63" s="90"/>
      <c r="L63" s="81"/>
      <c r="M63" s="81"/>
      <c r="N63" s="81"/>
      <c r="O63" s="81"/>
      <c r="P63" s="81"/>
      <c r="Q63" s="81"/>
      <c r="R63" s="81"/>
      <c r="S63" s="81"/>
      <c r="T63" s="81"/>
      <c r="U63" s="80"/>
      <c r="V63" s="72"/>
      <c r="W63" s="91"/>
      <c r="X63" s="91"/>
    </row>
    <row r="64" spans="2:24" x14ac:dyDescent="0.2">
      <c r="B64" s="372"/>
      <c r="C64" s="102"/>
      <c r="D64" s="103"/>
      <c r="E64" s="104"/>
      <c r="F64" s="104"/>
      <c r="G64" s="104"/>
      <c r="H64" s="30">
        <f t="shared" si="3"/>
        <v>0</v>
      </c>
      <c r="I64" s="89"/>
      <c r="J64" s="89"/>
      <c r="K64" s="90"/>
      <c r="L64" s="81"/>
      <c r="M64" s="81"/>
      <c r="N64" s="81"/>
      <c r="O64" s="81"/>
      <c r="P64" s="81"/>
      <c r="Q64" s="81"/>
      <c r="R64" s="81"/>
      <c r="S64" s="81"/>
      <c r="T64" s="81"/>
      <c r="U64" s="80"/>
      <c r="V64" s="72"/>
      <c r="W64" s="91"/>
      <c r="X64" s="91"/>
    </row>
    <row r="65" spans="2:24" x14ac:dyDescent="0.2">
      <c r="B65" s="372"/>
      <c r="C65" s="102"/>
      <c r="D65" s="103"/>
      <c r="E65" s="104"/>
      <c r="F65" s="104"/>
      <c r="G65" s="104"/>
      <c r="H65" s="30">
        <f t="shared" si="3"/>
        <v>0</v>
      </c>
      <c r="I65" s="89"/>
      <c r="J65" s="89"/>
      <c r="K65" s="90"/>
      <c r="L65" s="81"/>
      <c r="M65" s="81"/>
      <c r="N65" s="81"/>
      <c r="O65" s="81"/>
      <c r="P65" s="81"/>
      <c r="Q65" s="81"/>
      <c r="R65" s="81"/>
      <c r="S65" s="81"/>
      <c r="T65" s="81"/>
      <c r="U65" s="80"/>
      <c r="V65" s="72"/>
      <c r="W65" s="91"/>
      <c r="X65" s="91"/>
    </row>
    <row r="66" spans="2:24" x14ac:dyDescent="0.2">
      <c r="B66" s="372"/>
      <c r="C66" s="102"/>
      <c r="D66" s="103"/>
      <c r="E66" s="104"/>
      <c r="F66" s="104"/>
      <c r="G66" s="104"/>
      <c r="H66" s="30">
        <f t="shared" si="3"/>
        <v>0</v>
      </c>
      <c r="I66" s="89"/>
      <c r="J66" s="89"/>
      <c r="K66" s="90"/>
      <c r="L66" s="81"/>
      <c r="M66" s="81"/>
      <c r="N66" s="81"/>
      <c r="O66" s="81"/>
      <c r="P66" s="81"/>
      <c r="Q66" s="81"/>
      <c r="R66" s="81"/>
      <c r="S66" s="81"/>
      <c r="T66" s="81"/>
      <c r="U66" s="80"/>
      <c r="V66" s="72"/>
      <c r="W66" s="91"/>
      <c r="X66" s="91"/>
    </row>
    <row r="67" spans="2:24" x14ac:dyDescent="0.2">
      <c r="B67" s="372"/>
      <c r="C67" s="102"/>
      <c r="D67" s="103"/>
      <c r="E67" s="104"/>
      <c r="F67" s="104"/>
      <c r="G67" s="104"/>
      <c r="H67" s="30">
        <f t="shared" si="3"/>
        <v>0</v>
      </c>
      <c r="I67" s="89"/>
      <c r="J67" s="89"/>
      <c r="K67" s="90"/>
      <c r="L67" s="81"/>
      <c r="M67" s="81"/>
      <c r="N67" s="81"/>
      <c r="O67" s="81"/>
      <c r="P67" s="81"/>
      <c r="Q67" s="81"/>
      <c r="R67" s="81"/>
      <c r="S67" s="81"/>
      <c r="T67" s="81"/>
      <c r="U67" s="80"/>
      <c r="V67" s="72"/>
      <c r="W67" s="91"/>
      <c r="X67" s="91"/>
    </row>
    <row r="68" spans="2:24" ht="13.5" thickBot="1" x14ac:dyDescent="0.25">
      <c r="B68" s="375"/>
      <c r="C68" s="102"/>
      <c r="D68" s="103"/>
      <c r="E68" s="104"/>
      <c r="F68" s="104"/>
      <c r="G68" s="104"/>
      <c r="H68" s="30">
        <f t="shared" si="3"/>
        <v>0</v>
      </c>
      <c r="I68" s="89"/>
      <c r="J68" s="89"/>
      <c r="K68" s="90"/>
      <c r="L68" s="81"/>
      <c r="M68" s="81"/>
      <c r="N68" s="81"/>
      <c r="O68" s="81"/>
      <c r="P68" s="81"/>
      <c r="Q68" s="81"/>
      <c r="R68" s="81"/>
      <c r="S68" s="81"/>
      <c r="T68" s="81"/>
      <c r="U68" s="80"/>
      <c r="V68" s="72"/>
      <c r="W68" s="91"/>
      <c r="X68" s="91"/>
    </row>
    <row r="69" spans="2:24" x14ac:dyDescent="0.2">
      <c r="B69" s="376"/>
      <c r="C69" s="191"/>
      <c r="D69" s="192"/>
      <c r="E69" s="193"/>
      <c r="F69" s="193"/>
      <c r="G69" s="104"/>
      <c r="H69" s="30">
        <f t="shared" si="3"/>
        <v>0</v>
      </c>
      <c r="I69" s="89"/>
      <c r="J69" s="89"/>
      <c r="K69" s="90"/>
      <c r="L69" s="81"/>
      <c r="M69" s="81"/>
      <c r="N69" s="81"/>
      <c r="O69" s="81"/>
      <c r="P69" s="81"/>
      <c r="Q69" s="81"/>
      <c r="R69" s="81"/>
      <c r="S69" s="81"/>
      <c r="T69" s="81"/>
      <c r="U69" s="80"/>
      <c r="V69" s="72"/>
      <c r="W69" s="91"/>
      <c r="X69" s="91"/>
    </row>
    <row r="70" spans="2:24" x14ac:dyDescent="0.2">
      <c r="B70" s="372"/>
      <c r="C70" s="369" t="s">
        <v>637</v>
      </c>
      <c r="D70" s="370"/>
      <c r="E70" s="370"/>
      <c r="F70" s="371"/>
      <c r="G70" s="104"/>
      <c r="H70" s="30">
        <f t="shared" si="3"/>
        <v>0</v>
      </c>
      <c r="I70" s="89"/>
      <c r="J70" s="89"/>
      <c r="K70" s="90"/>
      <c r="L70" s="81"/>
      <c r="M70" s="81"/>
      <c r="N70" s="81"/>
      <c r="O70" s="81"/>
      <c r="P70" s="81"/>
      <c r="Q70" s="81"/>
      <c r="R70" s="81"/>
      <c r="S70" s="81"/>
      <c r="T70" s="81"/>
      <c r="U70" s="80"/>
      <c r="V70" s="72"/>
      <c r="W70" s="91"/>
      <c r="X70" s="91"/>
    </row>
    <row r="71" spans="2:24" ht="13.5" thickBot="1" x14ac:dyDescent="0.25">
      <c r="B71" s="377"/>
      <c r="C71" s="205"/>
      <c r="D71" s="206"/>
      <c r="E71" s="207"/>
      <c r="F71" s="207"/>
      <c r="G71" s="104"/>
      <c r="H71" s="30">
        <f t="shared" si="3"/>
        <v>0</v>
      </c>
      <c r="I71" s="89"/>
      <c r="J71" s="89"/>
      <c r="K71" s="90"/>
      <c r="L71" s="81"/>
      <c r="M71" s="81"/>
      <c r="N71" s="81"/>
      <c r="O71" s="81"/>
      <c r="P71" s="81"/>
      <c r="Q71" s="81"/>
      <c r="R71" s="81"/>
      <c r="S71" s="81"/>
      <c r="T71" s="81"/>
      <c r="U71" s="80"/>
      <c r="V71" s="72"/>
      <c r="W71" s="91"/>
      <c r="X71" s="91"/>
    </row>
    <row r="72" spans="2:24" x14ac:dyDescent="0.2">
      <c r="B72" s="376"/>
      <c r="C72" s="214"/>
      <c r="D72" s="215"/>
      <c r="E72" s="216"/>
      <c r="F72" s="216"/>
      <c r="G72" s="104"/>
      <c r="H72" s="30">
        <f t="shared" si="3"/>
        <v>0</v>
      </c>
      <c r="I72" s="89"/>
      <c r="J72" s="89"/>
      <c r="K72" s="90"/>
      <c r="L72" s="81"/>
      <c r="M72" s="81"/>
      <c r="N72" s="81"/>
      <c r="O72" s="81"/>
      <c r="P72" s="81"/>
      <c r="Q72" s="81"/>
      <c r="R72" s="81"/>
      <c r="S72" s="81"/>
      <c r="T72" s="81"/>
      <c r="U72" s="80"/>
      <c r="V72" s="72"/>
      <c r="W72" s="91"/>
      <c r="X72" s="91"/>
    </row>
    <row r="73" spans="2:24" x14ac:dyDescent="0.2">
      <c r="B73" s="372"/>
      <c r="C73" s="217"/>
      <c r="D73" s="218"/>
      <c r="E73" s="219"/>
      <c r="F73" s="219"/>
      <c r="G73" s="104"/>
      <c r="H73" s="30">
        <f t="shared" si="3"/>
        <v>0</v>
      </c>
      <c r="I73" s="89"/>
      <c r="J73" s="89"/>
      <c r="K73" s="90"/>
      <c r="L73" s="81"/>
      <c r="M73" s="81"/>
      <c r="N73" s="81"/>
      <c r="O73" s="81"/>
      <c r="P73" s="81"/>
      <c r="Q73" s="81"/>
      <c r="R73" s="81"/>
      <c r="S73" s="81"/>
      <c r="T73" s="81"/>
      <c r="U73" s="80"/>
      <c r="V73" s="72"/>
      <c r="W73" s="91"/>
      <c r="X73" s="91"/>
    </row>
    <row r="74" spans="2:24" x14ac:dyDescent="0.2">
      <c r="B74" s="378"/>
      <c r="C74" s="187"/>
      <c r="D74" s="203"/>
      <c r="E74" s="204"/>
      <c r="F74" s="204"/>
      <c r="G74" s="104"/>
      <c r="H74" s="30">
        <f t="shared" si="3"/>
        <v>0</v>
      </c>
      <c r="I74" s="89"/>
      <c r="J74" s="89"/>
      <c r="K74" s="90"/>
      <c r="L74" s="81"/>
      <c r="M74" s="81"/>
      <c r="N74" s="81"/>
      <c r="O74" s="81"/>
      <c r="P74" s="81"/>
      <c r="Q74" s="81"/>
      <c r="R74" s="81"/>
      <c r="S74" s="81"/>
      <c r="T74" s="81"/>
      <c r="U74" s="80"/>
      <c r="V74" s="72"/>
      <c r="W74" s="91"/>
      <c r="X74" s="91"/>
    </row>
    <row r="75" spans="2:24" x14ac:dyDescent="0.2">
      <c r="B75" s="378"/>
      <c r="C75" s="102"/>
      <c r="D75" s="103"/>
      <c r="E75" s="104"/>
      <c r="F75" s="104"/>
      <c r="G75" s="104"/>
      <c r="H75" s="30">
        <f t="shared" si="3"/>
        <v>0</v>
      </c>
      <c r="I75" s="89"/>
      <c r="J75" s="89"/>
      <c r="K75" s="90"/>
      <c r="L75" s="81"/>
      <c r="M75" s="81"/>
      <c r="N75" s="81"/>
      <c r="O75" s="81"/>
      <c r="P75" s="81"/>
      <c r="Q75" s="81"/>
      <c r="R75" s="81"/>
      <c r="S75" s="81"/>
      <c r="T75" s="81"/>
      <c r="U75" s="80"/>
      <c r="V75" s="72"/>
      <c r="W75" s="91"/>
      <c r="X75" s="91"/>
    </row>
    <row r="76" spans="2:24" x14ac:dyDescent="0.2">
      <c r="B76" s="372"/>
      <c r="C76" s="102"/>
      <c r="D76" s="103"/>
      <c r="E76" s="104"/>
      <c r="F76" s="104"/>
      <c r="G76" s="104"/>
      <c r="H76" s="30">
        <f t="shared" si="3"/>
        <v>0</v>
      </c>
      <c r="I76" s="89"/>
      <c r="J76" s="89"/>
      <c r="K76" s="90"/>
      <c r="L76" s="81"/>
      <c r="M76" s="81"/>
      <c r="N76" s="81"/>
      <c r="O76" s="81"/>
      <c r="P76" s="81"/>
      <c r="Q76" s="81"/>
      <c r="R76" s="81"/>
      <c r="S76" s="81"/>
      <c r="T76" s="81"/>
      <c r="U76" s="80"/>
      <c r="V76" s="72"/>
      <c r="W76" s="91"/>
      <c r="X76" s="91"/>
    </row>
    <row r="77" spans="2:24" ht="13.5" thickBot="1" x14ac:dyDescent="0.25">
      <c r="B77" s="378"/>
      <c r="C77" s="102"/>
      <c r="D77" s="103"/>
      <c r="E77" s="104"/>
      <c r="F77" s="104"/>
      <c r="G77" s="104"/>
      <c r="H77" s="30">
        <f t="shared" si="3"/>
        <v>0</v>
      </c>
      <c r="I77" s="89"/>
      <c r="J77" s="89"/>
      <c r="K77" s="90"/>
      <c r="L77" s="81"/>
      <c r="M77" s="81"/>
      <c r="N77" s="81"/>
      <c r="O77" s="81"/>
      <c r="P77" s="81"/>
      <c r="Q77" s="81"/>
      <c r="R77" s="81"/>
      <c r="S77" s="81"/>
      <c r="T77" s="81"/>
      <c r="U77" s="80"/>
      <c r="V77" s="72"/>
      <c r="W77" s="91"/>
      <c r="X77" s="91"/>
    </row>
    <row r="78" spans="2:24" x14ac:dyDescent="0.2">
      <c r="B78" s="376"/>
      <c r="C78" s="191"/>
      <c r="D78" s="192"/>
      <c r="E78" s="193"/>
      <c r="F78" s="193"/>
      <c r="G78" s="104"/>
      <c r="H78" s="30">
        <f t="shared" si="3"/>
        <v>0</v>
      </c>
      <c r="I78" s="89"/>
      <c r="J78" s="89"/>
      <c r="K78" s="90"/>
      <c r="L78" s="81"/>
      <c r="M78" s="81"/>
      <c r="N78" s="81"/>
      <c r="O78" s="81"/>
      <c r="P78" s="81"/>
      <c r="Q78" s="81"/>
      <c r="R78" s="81"/>
      <c r="S78" s="81"/>
      <c r="T78" s="81"/>
      <c r="U78" s="80"/>
      <c r="V78" s="72"/>
      <c r="W78" s="91"/>
      <c r="X78" s="91"/>
    </row>
    <row r="79" spans="2:24" x14ac:dyDescent="0.2">
      <c r="B79" s="372"/>
      <c r="C79" s="369" t="s">
        <v>638</v>
      </c>
      <c r="D79" s="370"/>
      <c r="E79" s="370"/>
      <c r="F79" s="371"/>
      <c r="G79" s="104"/>
      <c r="H79" s="30">
        <f t="shared" si="3"/>
        <v>0</v>
      </c>
      <c r="I79" s="89"/>
      <c r="J79" s="89"/>
      <c r="K79" s="90"/>
      <c r="L79" s="81"/>
      <c r="M79" s="81"/>
      <c r="N79" s="81"/>
      <c r="O79" s="81"/>
      <c r="P79" s="81"/>
      <c r="Q79" s="81"/>
      <c r="R79" s="81"/>
      <c r="S79" s="81"/>
      <c r="T79" s="81"/>
      <c r="U79" s="80"/>
      <c r="V79" s="72"/>
      <c r="W79" s="91"/>
      <c r="X79" s="91"/>
    </row>
    <row r="80" spans="2:24" ht="13.5" thickBot="1" x14ac:dyDescent="0.25">
      <c r="B80" s="377"/>
      <c r="C80" s="205"/>
      <c r="D80" s="206"/>
      <c r="E80" s="207"/>
      <c r="F80" s="207"/>
      <c r="G80" s="104"/>
      <c r="H80" s="30">
        <f t="shared" si="3"/>
        <v>0</v>
      </c>
      <c r="I80" s="89"/>
      <c r="J80" s="89"/>
      <c r="K80" s="90"/>
      <c r="L80" s="81"/>
      <c r="M80" s="81"/>
      <c r="N80" s="81"/>
      <c r="O80" s="81"/>
      <c r="P80" s="81"/>
      <c r="Q80" s="81"/>
      <c r="R80" s="81"/>
      <c r="S80" s="81"/>
      <c r="T80" s="81"/>
      <c r="U80" s="80"/>
      <c r="V80" s="72"/>
      <c r="W80" s="91"/>
      <c r="X80" s="91"/>
    </row>
    <row r="81" spans="2:24" x14ac:dyDescent="0.2">
      <c r="B81" s="378"/>
      <c r="C81" s="102"/>
      <c r="D81" s="103"/>
      <c r="E81" s="104"/>
      <c r="F81" s="104"/>
      <c r="G81" s="104"/>
      <c r="H81" s="30">
        <f t="shared" si="3"/>
        <v>0</v>
      </c>
      <c r="I81" s="89"/>
      <c r="J81" s="89"/>
      <c r="K81" s="90"/>
      <c r="L81" s="81"/>
      <c r="M81" s="81"/>
      <c r="N81" s="81"/>
      <c r="O81" s="81"/>
      <c r="P81" s="81"/>
      <c r="Q81" s="81"/>
      <c r="R81" s="81"/>
      <c r="S81" s="81"/>
      <c r="T81" s="81"/>
      <c r="U81" s="80"/>
      <c r="V81" s="72"/>
      <c r="W81" s="91"/>
      <c r="X81" s="91"/>
    </row>
    <row r="82" spans="2:24" x14ac:dyDescent="0.2">
      <c r="B82" s="372"/>
      <c r="C82" s="102"/>
      <c r="D82" s="103"/>
      <c r="E82" s="104"/>
      <c r="F82" s="104"/>
      <c r="G82" s="104"/>
      <c r="H82" s="30">
        <f t="shared" si="3"/>
        <v>0</v>
      </c>
      <c r="I82" s="89"/>
      <c r="J82" s="89"/>
      <c r="K82" s="90"/>
      <c r="L82" s="81"/>
      <c r="M82" s="81"/>
      <c r="N82" s="81"/>
      <c r="O82" s="81"/>
      <c r="P82" s="81"/>
      <c r="Q82" s="81"/>
      <c r="R82" s="81"/>
      <c r="S82" s="81"/>
      <c r="T82" s="81"/>
      <c r="U82" s="80"/>
      <c r="V82" s="72"/>
      <c r="W82" s="91"/>
      <c r="X82" s="91"/>
    </row>
    <row r="83" spans="2:24" x14ac:dyDescent="0.2">
      <c r="B83" s="378"/>
      <c r="C83" s="102"/>
      <c r="D83" s="103"/>
      <c r="E83" s="104"/>
      <c r="F83" s="104"/>
      <c r="G83" s="104"/>
      <c r="H83" s="30">
        <f t="shared" si="3"/>
        <v>0</v>
      </c>
      <c r="I83" s="89"/>
      <c r="J83" s="89"/>
      <c r="K83" s="90"/>
      <c r="L83" s="81"/>
      <c r="M83" s="81"/>
      <c r="N83" s="81"/>
      <c r="O83" s="81"/>
      <c r="P83" s="81"/>
      <c r="Q83" s="81"/>
      <c r="R83" s="81"/>
      <c r="S83" s="81"/>
      <c r="T83" s="81"/>
      <c r="U83" s="80"/>
      <c r="V83" s="72"/>
      <c r="W83" s="91"/>
      <c r="X83" s="91"/>
    </row>
    <row r="84" spans="2:24" ht="13.5" thickBot="1" x14ac:dyDescent="0.25">
      <c r="B84" s="84"/>
      <c r="C84" s="102"/>
      <c r="D84" s="103"/>
      <c r="E84" s="104"/>
      <c r="F84" s="104"/>
      <c r="G84" s="104"/>
      <c r="H84" s="30">
        <f t="shared" si="3"/>
        <v>0</v>
      </c>
      <c r="I84" s="89"/>
      <c r="J84" s="89"/>
      <c r="K84" s="90"/>
      <c r="L84" s="81"/>
      <c r="M84" s="81"/>
      <c r="N84" s="81"/>
      <c r="O84" s="81"/>
      <c r="P84" s="81"/>
      <c r="Q84" s="81"/>
      <c r="R84" s="81"/>
      <c r="S84" s="81"/>
      <c r="T84" s="81"/>
      <c r="U84" s="80"/>
      <c r="V84" s="72"/>
      <c r="W84" s="91"/>
      <c r="X84" s="91"/>
    </row>
    <row r="85" spans="2:24" x14ac:dyDescent="0.2">
      <c r="B85" s="376"/>
      <c r="C85" s="191"/>
      <c r="D85" s="192"/>
      <c r="E85" s="193"/>
      <c r="F85" s="193"/>
      <c r="G85" s="104"/>
      <c r="H85" s="30">
        <f t="shared" si="3"/>
        <v>0</v>
      </c>
      <c r="I85" s="89"/>
      <c r="J85" s="89"/>
      <c r="K85" s="90"/>
      <c r="L85" s="81"/>
      <c r="M85" s="81"/>
      <c r="N85" s="81"/>
      <c r="O85" s="81"/>
      <c r="P85" s="81"/>
      <c r="Q85" s="81"/>
      <c r="R85" s="81"/>
      <c r="S85" s="81"/>
      <c r="T85" s="81"/>
      <c r="U85" s="80"/>
      <c r="V85" s="72"/>
      <c r="W85" s="91"/>
      <c r="X85" s="91"/>
    </row>
    <row r="86" spans="2:24" x14ac:dyDescent="0.2">
      <c r="B86" s="372"/>
      <c r="C86" s="369" t="s">
        <v>706</v>
      </c>
      <c r="D86" s="370"/>
      <c r="E86" s="370"/>
      <c r="F86" s="371"/>
      <c r="G86" s="104"/>
      <c r="H86" s="30">
        <f t="shared" si="3"/>
        <v>0</v>
      </c>
      <c r="I86" s="89"/>
      <c r="J86" s="89"/>
      <c r="K86" s="90"/>
      <c r="L86" s="81"/>
      <c r="M86" s="81"/>
      <c r="N86" s="81"/>
      <c r="O86" s="81"/>
      <c r="P86" s="81"/>
      <c r="Q86" s="81"/>
      <c r="R86" s="81"/>
      <c r="S86" s="81"/>
      <c r="T86" s="81"/>
      <c r="U86" s="80"/>
      <c r="V86" s="72"/>
      <c r="W86" s="91"/>
      <c r="X86" s="91"/>
    </row>
    <row r="87" spans="2:24" ht="13.5" thickBot="1" x14ac:dyDescent="0.25">
      <c r="B87" s="377"/>
      <c r="C87" s="205"/>
      <c r="D87" s="206"/>
      <c r="E87" s="207"/>
      <c r="F87" s="207"/>
      <c r="G87" s="104"/>
      <c r="H87" s="30">
        <f t="shared" si="3"/>
        <v>0</v>
      </c>
      <c r="I87" s="89"/>
      <c r="J87" s="89"/>
      <c r="K87" s="90"/>
      <c r="L87" s="81"/>
      <c r="M87" s="81"/>
      <c r="N87" s="81"/>
      <c r="O87" s="81"/>
      <c r="P87" s="81"/>
      <c r="Q87" s="81"/>
      <c r="R87" s="81"/>
      <c r="S87" s="81"/>
      <c r="T87" s="81"/>
      <c r="U87" s="80">
        <v>0</v>
      </c>
      <c r="V87" s="72">
        <f t="shared" ref="V44:V91" si="4">PRODUCT(U87,0.13)</f>
        <v>0</v>
      </c>
      <c r="W87" s="91"/>
      <c r="X87" s="91"/>
    </row>
    <row r="88" spans="2:24" x14ac:dyDescent="0.2">
      <c r="B88" s="84"/>
      <c r="C88" s="102"/>
      <c r="D88" s="103"/>
      <c r="E88" s="104"/>
      <c r="F88" s="104"/>
      <c r="G88" s="104"/>
      <c r="H88" s="30">
        <f t="shared" si="3"/>
        <v>0</v>
      </c>
      <c r="I88" s="89"/>
      <c r="J88" s="89"/>
      <c r="K88" s="90"/>
      <c r="L88" s="81"/>
      <c r="M88" s="81"/>
      <c r="N88" s="81"/>
      <c r="O88" s="81"/>
      <c r="P88" s="81"/>
      <c r="Q88" s="81"/>
      <c r="R88" s="81"/>
      <c r="S88" s="81"/>
      <c r="T88" s="81"/>
      <c r="U88" s="80">
        <v>0</v>
      </c>
      <c r="V88" s="72">
        <f t="shared" si="4"/>
        <v>0</v>
      </c>
      <c r="W88" s="91"/>
      <c r="X88" s="91"/>
    </row>
    <row r="89" spans="2:24" x14ac:dyDescent="0.2">
      <c r="B89" s="84"/>
      <c r="C89" s="102"/>
      <c r="D89" s="103"/>
      <c r="E89" s="104"/>
      <c r="F89" s="104"/>
      <c r="G89" s="104"/>
      <c r="H89" s="30">
        <f t="shared" si="3"/>
        <v>0</v>
      </c>
      <c r="I89" s="89"/>
      <c r="J89" s="89"/>
      <c r="K89" s="90"/>
      <c r="L89" s="81"/>
      <c r="M89" s="81"/>
      <c r="N89" s="81"/>
      <c r="O89" s="81"/>
      <c r="P89" s="81"/>
      <c r="Q89" s="81"/>
      <c r="R89" s="81"/>
      <c r="S89" s="81"/>
      <c r="T89" s="81"/>
      <c r="U89" s="80">
        <v>0</v>
      </c>
      <c r="V89" s="72">
        <f t="shared" si="4"/>
        <v>0</v>
      </c>
      <c r="W89" s="91"/>
      <c r="X89" s="91"/>
    </row>
    <row r="90" spans="2:24" x14ac:dyDescent="0.2">
      <c r="B90" s="84"/>
      <c r="C90" s="102"/>
      <c r="D90" s="103"/>
      <c r="E90" s="104"/>
      <c r="F90" s="104"/>
      <c r="G90" s="104"/>
      <c r="H90" s="30">
        <f t="shared" si="3"/>
        <v>0</v>
      </c>
      <c r="I90" s="89"/>
      <c r="J90" s="89"/>
      <c r="K90" s="90"/>
      <c r="L90" s="81"/>
      <c r="M90" s="81"/>
      <c r="N90" s="81"/>
      <c r="O90" s="81"/>
      <c r="P90" s="81"/>
      <c r="Q90" s="81"/>
      <c r="R90" s="81"/>
      <c r="S90" s="81"/>
      <c r="T90" s="81"/>
      <c r="U90" s="80">
        <v>0</v>
      </c>
      <c r="V90" s="72">
        <f t="shared" si="4"/>
        <v>0</v>
      </c>
      <c r="W90" s="91"/>
      <c r="X90" s="91"/>
    </row>
    <row r="91" spans="2:24" ht="13.5" thickBot="1" x14ac:dyDescent="0.25">
      <c r="B91" s="84"/>
      <c r="C91" s="102"/>
      <c r="D91" s="103"/>
      <c r="E91" s="104"/>
      <c r="F91" s="104"/>
      <c r="G91" s="104"/>
      <c r="H91" s="30">
        <f t="shared" si="3"/>
        <v>0</v>
      </c>
      <c r="I91" s="89"/>
      <c r="J91" s="89"/>
      <c r="K91" s="90"/>
      <c r="L91" s="81"/>
      <c r="M91" s="81"/>
      <c r="N91" s="81"/>
      <c r="O91" s="81"/>
      <c r="P91" s="81"/>
      <c r="Q91" s="81"/>
      <c r="R91" s="81"/>
      <c r="S91" s="81"/>
      <c r="T91" s="81"/>
      <c r="U91" s="80">
        <v>0</v>
      </c>
      <c r="V91" s="72">
        <f t="shared" si="4"/>
        <v>0</v>
      </c>
      <c r="W91" s="91"/>
      <c r="X91" s="91"/>
    </row>
    <row r="92" spans="2:24" x14ac:dyDescent="0.2">
      <c r="B92" s="119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</row>
    <row r="93" spans="2:24" x14ac:dyDescent="0.2">
      <c r="B93" s="6" t="s">
        <v>578</v>
      </c>
      <c r="C93" s="6"/>
      <c r="D93" s="6"/>
      <c r="E93" s="6"/>
      <c r="F93" s="6"/>
      <c r="G93" s="6"/>
      <c r="H93" s="82">
        <f>SUM(H29:H91)</f>
        <v>8923.6551999999992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82">
        <f>SUM(U29:U91)</f>
        <v>7897.04</v>
      </c>
      <c r="V93" s="82">
        <f>SUM(V29:V91)</f>
        <v>1026.6152000000002</v>
      </c>
      <c r="W93" s="82">
        <f>SUM(W29:W90)</f>
        <v>0</v>
      </c>
      <c r="X93" s="82">
        <f>SUM(X29:X90)</f>
        <v>0</v>
      </c>
    </row>
    <row r="97" spans="7:19" x14ac:dyDescent="0.2">
      <c r="H97" s="35"/>
    </row>
    <row r="98" spans="7:19" x14ac:dyDescent="0.2">
      <c r="G98" s="96"/>
    </row>
    <row r="100" spans="7:19" x14ac:dyDescent="0.2">
      <c r="H100" s="35"/>
      <c r="Q100" s="35"/>
      <c r="S100" s="35"/>
    </row>
    <row r="101" spans="7:19" x14ac:dyDescent="0.2">
      <c r="Q101" s="32"/>
      <c r="S101" s="35"/>
    </row>
    <row r="102" spans="7:19" x14ac:dyDescent="0.2">
      <c r="Q102" s="32"/>
    </row>
  </sheetData>
  <mergeCells count="49">
    <mergeCell ref="U2:V2"/>
    <mergeCell ref="V23:V27"/>
    <mergeCell ref="W23:W27"/>
    <mergeCell ref="X23:X27"/>
    <mergeCell ref="P15:R16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L21:L27"/>
    <mergeCell ref="B19:B27"/>
    <mergeCell ref="C19:D20"/>
    <mergeCell ref="E19:G20"/>
    <mergeCell ref="C21:C27"/>
    <mergeCell ref="D21:D27"/>
    <mergeCell ref="E21:F27"/>
    <mergeCell ref="G21:G27"/>
    <mergeCell ref="J21:J27"/>
    <mergeCell ref="C86:F86"/>
    <mergeCell ref="E28:F28"/>
    <mergeCell ref="C13:F13"/>
    <mergeCell ref="G15:K16"/>
    <mergeCell ref="K21:K27"/>
    <mergeCell ref="C70:F70"/>
    <mergeCell ref="C41:F41"/>
    <mergeCell ref="C52:F52"/>
    <mergeCell ref="H19:H27"/>
    <mergeCell ref="I21:I27"/>
    <mergeCell ref="C79:F79"/>
  </mergeCells>
  <pageMargins left="0.70866141732283472" right="1.6929133858267718" top="0.74803149606299213" bottom="0.7480314960629921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91"/>
  <sheetViews>
    <sheetView showZeros="0" topLeftCell="A67" zoomScaleNormal="100" workbookViewId="0">
      <selection activeCell="K89" sqref="K89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1.75" customWidth="1"/>
    <col min="11" max="11" width="10.12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72" t="str">
        <f>NASLOV!B5</f>
        <v>Markus Renz</v>
      </c>
      <c r="B1" s="272"/>
      <c r="C1" s="272"/>
      <c r="D1" s="272"/>
      <c r="E1" s="272"/>
      <c r="F1" s="272"/>
    </row>
    <row r="2" spans="1:18" x14ac:dyDescent="0.2">
      <c r="A2" s="272"/>
      <c r="B2" s="272"/>
      <c r="C2" s="272"/>
      <c r="D2" s="272"/>
      <c r="E2" s="272"/>
      <c r="F2" s="272"/>
    </row>
    <row r="3" spans="1:18" x14ac:dyDescent="0.2">
      <c r="C3" s="237" t="str">
        <f>INDEX(PRIJEVODI!B:D,MATCH("URIC-001",PRIJEVODI!A:A,0),MATCH(NASLOV!$B$2,PRIJEVODI!$B$1:$D$1,0))</f>
        <v>STEUERPFLICHTIGER: NAME / NACHNAME</v>
      </c>
      <c r="D3" s="237"/>
      <c r="E3" s="237"/>
      <c r="F3" s="237"/>
      <c r="Q3" s="239"/>
      <c r="R3" s="239"/>
    </row>
    <row r="4" spans="1:18" x14ac:dyDescent="0.2">
      <c r="C4" s="271" t="str">
        <f>NASLOV!B7</f>
        <v>Am Sonnblick 6, Lichtenau</v>
      </c>
      <c r="D4" s="271"/>
      <c r="E4" s="271"/>
      <c r="F4" s="271"/>
    </row>
    <row r="5" spans="1:18" x14ac:dyDescent="0.2">
      <c r="C5" s="271"/>
      <c r="D5" s="271"/>
      <c r="E5" s="271"/>
      <c r="F5" s="271"/>
    </row>
    <row r="6" spans="1:18" x14ac:dyDescent="0.2">
      <c r="C6" s="237" t="str">
        <f>INDEX(PRIJEVODI!B:D,MATCH("URIC-002",PRIJEVODI!A:A,0),MATCH(NASLOV!$B$2,PRIJEVODI!$B$1:$D$1,0))</f>
        <v>ADRESSE: ORT, STRASSE UND HAUSNUMMER</v>
      </c>
      <c r="D6" s="237"/>
      <c r="E6" s="237"/>
      <c r="F6" s="237"/>
    </row>
    <row r="7" spans="1:18" x14ac:dyDescent="0.2">
      <c r="C7" s="273"/>
      <c r="D7" s="273"/>
      <c r="E7" s="273"/>
      <c r="F7" s="273"/>
    </row>
    <row r="8" spans="1:18" x14ac:dyDescent="0.2">
      <c r="C8" s="273"/>
      <c r="D8" s="273"/>
      <c r="E8" s="273"/>
      <c r="F8" s="273"/>
    </row>
    <row r="9" spans="1:18" x14ac:dyDescent="0.2">
      <c r="C9" s="237" t="str">
        <f>INDEX(PRIJEVODI!B:D,MATCH("URIC-003",PRIJEVODI!A:A,0),MATCH(NASLOV!$B$2,PRIJEVODI!$B$1:$D$1,0))</f>
        <v xml:space="preserve">NUMMERIERUNG GEMÄSS DEM NATIONALEN KLASSIFIZIERUNGSSYSTEM  </v>
      </c>
      <c r="D9" s="237"/>
      <c r="E9" s="237"/>
      <c r="F9" s="237"/>
    </row>
    <row r="10" spans="1:18" x14ac:dyDescent="0.2">
      <c r="C10" s="237"/>
      <c r="D10" s="237"/>
      <c r="E10" s="237"/>
      <c r="F10" s="237"/>
    </row>
    <row r="11" spans="1:18" x14ac:dyDescent="0.2">
      <c r="C11" s="271" t="str">
        <f>NASLOV!B9</f>
        <v>HR6411581446</v>
      </c>
      <c r="D11" s="271"/>
      <c r="E11" s="271"/>
      <c r="F11" s="271"/>
    </row>
    <row r="12" spans="1:18" x14ac:dyDescent="0.2">
      <c r="C12" s="271"/>
      <c r="D12" s="271"/>
      <c r="E12" s="271"/>
      <c r="F12" s="271"/>
    </row>
    <row r="13" spans="1:18" x14ac:dyDescent="0.2">
      <c r="C13" s="237" t="str">
        <f>INDEX(PRIJEVODI!B:D,MATCH("URIC-004",PRIJEVODI!A:A,0),MATCH(NASLOV!$B$2,PRIJEVODI!$B$1:$D$1,0))</f>
        <v>STEUERNUMMER (UID)</v>
      </c>
      <c r="D13" s="237"/>
      <c r="E13" s="237"/>
      <c r="F13" s="237"/>
    </row>
    <row r="15" spans="1:18" x14ac:dyDescent="0.2">
      <c r="G15" s="238" t="str">
        <f>INDEX(PRIJEVODI!B:D,MATCH("URIC-005",PRIJEVODI!A:A,0),MATCH(NASLOV!$B$2,PRIJEVODI!$B$1:$D$1,0))</f>
        <v>EINGANGSRECHNUNGBUCH - IG ERWERB</v>
      </c>
      <c r="H15" s="239"/>
      <c r="I15" s="239"/>
      <c r="J15" s="239"/>
      <c r="K15" s="239"/>
      <c r="L15" s="1"/>
    </row>
    <row r="16" spans="1:18" x14ac:dyDescent="0.2">
      <c r="G16" s="239"/>
      <c r="H16" s="239"/>
      <c r="I16" s="239"/>
      <c r="J16" s="239"/>
      <c r="K16" s="239"/>
      <c r="L16" s="1"/>
      <c r="O16" s="239" t="str">
        <f>INDEX(PRIJEVODI!B:D,MATCH("URIC-006",PRIJEVODI!A:A,0),MATCH(NASLOV!$B$2,PRIJEVODI!$B$1:$D$1,0))</f>
        <v>BETRAG IN KUNA UND LIPA</v>
      </c>
      <c r="P16" s="239"/>
      <c r="Q16" s="239"/>
      <c r="R16" s="239"/>
    </row>
    <row r="19" spans="1:22" ht="12.75" customHeight="1" x14ac:dyDescent="0.2">
      <c r="B19" s="246" t="str">
        <f>INDEX(PRIJEVODI!B:D,MATCH("URIC-007",PRIJEVODI!A:A,0),MATCH(NASLOV!$B$2,PRIJEVODI!$B$1:$D$1,0))</f>
        <v xml:space="preserve">ORDNUNGSNUMMER </v>
      </c>
      <c r="C19" s="249" t="str">
        <f>INDEX(PRIJEVODI!B:D,MATCH("URIC-008",PRIJEVODI!A:A,0),MATCH(NASLOV!$B$2,PRIJEVODI!$B$1:$D$1,0))</f>
        <v>RECHNUNG</v>
      </c>
      <c r="D19" s="250"/>
      <c r="E19" s="293" t="str">
        <f>INDEX(PRIJEVODI!B:D,MATCH("URIC-011",PRIJEVODI!A:A,0),MATCH(NASLOV!$B$2,PRIJEVODI!$B$1:$D$1,0))</f>
        <v>LIEFERANT (ANBIETER VON WAREN UND DIENSTLEISTUNGEN)</v>
      </c>
      <c r="F19" s="294"/>
      <c r="G19" s="294"/>
      <c r="H19" s="294"/>
      <c r="I19" s="294"/>
      <c r="J19" s="294"/>
      <c r="K19" s="294"/>
      <c r="L19" s="294"/>
      <c r="M19" s="291"/>
      <c r="N19" s="249" t="str">
        <f>INDEX(PRIJEVODI!B:D,MATCH("URIC-020",PRIJEVODI!A:A,0),MATCH(NASLOV!$B$2,PRIJEVODI!$B$1:$D$1,0))</f>
        <v>STEUER</v>
      </c>
      <c r="O19" s="279"/>
      <c r="P19" s="279"/>
      <c r="Q19" s="279"/>
      <c r="R19" s="279"/>
      <c r="S19" s="285"/>
      <c r="T19" s="289" t="s">
        <v>603</v>
      </c>
      <c r="U19" s="290" t="s">
        <v>604</v>
      </c>
    </row>
    <row r="20" spans="1:22" x14ac:dyDescent="0.2">
      <c r="B20" s="247"/>
      <c r="C20" s="251"/>
      <c r="D20" s="252"/>
      <c r="E20" s="277"/>
      <c r="F20" s="295"/>
      <c r="G20" s="295"/>
      <c r="H20" s="295"/>
      <c r="I20" s="295"/>
      <c r="J20" s="295"/>
      <c r="K20" s="295"/>
      <c r="L20" s="295"/>
      <c r="M20" s="296"/>
      <c r="N20" s="281"/>
      <c r="O20" s="282"/>
      <c r="P20" s="282"/>
      <c r="Q20" s="282"/>
      <c r="R20" s="282"/>
      <c r="S20" s="283"/>
      <c r="T20" s="289"/>
      <c r="U20" s="290"/>
    </row>
    <row r="21" spans="1:22" ht="12.75" customHeight="1" x14ac:dyDescent="0.2">
      <c r="B21" s="247"/>
      <c r="C21" s="259" t="str">
        <f>INDEX(PRIJEVODI!B:D,MATCH("URIC-009",PRIJEVODI!A:A,0),MATCH(NASLOV!$B$2,PRIJEVODI!$B$1:$D$1,0))</f>
        <v xml:space="preserve">NUMMER </v>
      </c>
      <c r="D21" s="259" t="str">
        <f>INDEX(PRIJEVODI!B:D,MATCH("URIC-010",PRIJEVODI!A:A,0),MATCH(NASLOV!$B$2,PRIJEVODI!$B$1:$D$1,0))</f>
        <v>DATUM</v>
      </c>
      <c r="E21" s="262" t="str">
        <f>INDEX(PRIJEVODI!B:D,MATCH("URIC-012",PRIJEVODI!A:A,0),MATCH(NASLOV!$B$2,PRIJEVODI!$B$1:$D$1,0))</f>
        <v>TITEL - NAME UND NACHNAME, GESCHÄFTSSITZ / SITZORT</v>
      </c>
      <c r="F21" s="263"/>
      <c r="G21" s="268" t="str">
        <f>INDEX(PRIJEVODI!B:D,MATCH("URIC-013",PRIJEVODI!A:A,0),MATCH(NASLOV!$B$2,PRIJEVODI!$B$1:$D$1,0))</f>
        <v>STEUERNUMMER (UID)</v>
      </c>
      <c r="H21" s="275" t="str">
        <f>INDEX(PRIJEVODI!B:D,MATCH("URIC-014",PRIJEVODI!A:A,0),MATCH(NASLOV!$B$2,PRIJEVODI!$B$1:$D$1,0))</f>
        <v>LIEFERWERT</v>
      </c>
      <c r="I21" s="294"/>
      <c r="J21" s="291"/>
      <c r="K21" s="268" t="str">
        <f>INDEX(PRIJEVODI!B:D,MATCH("URIC-018",PRIJEVODI!A:A,0),MATCH(NASLOV!$B$2,PRIJEVODI!$B$1:$D$1,0))</f>
        <v>GESAMTBETRAG DER RECHNUNG INKLUSIVE MwST.</v>
      </c>
      <c r="L21" s="45"/>
      <c r="M21" s="259" t="str">
        <f>INDEX(PRIJEVODI!B:D,MATCH("URIC-030",PRIJEVODI!A:A,0),MATCH(NASLOV!$B$2,PRIJEVODI!$B$1:$D$1,0))</f>
        <v>TOTAL</v>
      </c>
      <c r="N21" s="284">
        <v>0.05</v>
      </c>
      <c r="O21" s="285"/>
      <c r="P21" s="284">
        <v>0.13</v>
      </c>
      <c r="Q21" s="285"/>
      <c r="R21" s="284">
        <v>0.25</v>
      </c>
      <c r="S21" s="285"/>
      <c r="T21" s="289"/>
      <c r="U21" s="290"/>
    </row>
    <row r="22" spans="1:22" x14ac:dyDescent="0.2">
      <c r="B22" s="247"/>
      <c r="C22" s="260"/>
      <c r="D22" s="260"/>
      <c r="E22" s="264"/>
      <c r="F22" s="265"/>
      <c r="G22" s="269"/>
      <c r="H22" s="276"/>
      <c r="I22" s="297"/>
      <c r="J22" s="298"/>
      <c r="K22" s="269"/>
      <c r="L22" s="46"/>
      <c r="M22" s="260"/>
      <c r="N22" s="281"/>
      <c r="O22" s="283"/>
      <c r="P22" s="281"/>
      <c r="Q22" s="283"/>
      <c r="R22" s="281"/>
      <c r="S22" s="283"/>
      <c r="T22" s="289"/>
      <c r="U22" s="290"/>
    </row>
    <row r="23" spans="1:22" x14ac:dyDescent="0.2">
      <c r="B23" s="247"/>
      <c r="C23" s="260"/>
      <c r="D23" s="260"/>
      <c r="E23" s="264"/>
      <c r="F23" s="265"/>
      <c r="G23" s="269"/>
      <c r="H23" s="276"/>
      <c r="I23" s="297"/>
      <c r="J23" s="298"/>
      <c r="K23" s="269"/>
      <c r="L23" s="46"/>
      <c r="M23" s="260"/>
      <c r="N23" s="268" t="str">
        <f>INDEX(PRIJEVODI!B:D,MATCH("URIC-022",PRIJEVODI!A:A,0),MATCH(NASLOV!$B$2,PRIJEVODI!$B$1:$D$1,0))</f>
        <v>ABZUGSFÄHIG</v>
      </c>
      <c r="O23" s="268" t="str">
        <f>INDEX(PRIJEVODI!B:D,MATCH("URIC-023",PRIJEVODI!A:A,0),MATCH(NASLOV!$B$2,PRIJEVODI!$B$1:$D$1,0))</f>
        <v>NICHT ABZUGSFÄHIG</v>
      </c>
      <c r="P23" s="268" t="str">
        <f>INDEX(PRIJEVODI!B:D,MATCH("URIC-025",PRIJEVODI!A:A,0),MATCH(NASLOV!$B$2,PRIJEVODI!$B$1:$D$1,0))</f>
        <v>ABZUGSFÄHIG</v>
      </c>
      <c r="Q23" s="268" t="str">
        <f>INDEX(PRIJEVODI!B:D,MATCH("URIC-026",PRIJEVODI!A:A,0),MATCH(NASLOV!$B$2,PRIJEVODI!$B$1:$D$1,0))</f>
        <v>NICHT ABZUGSFÄHIG</v>
      </c>
      <c r="R23" s="268" t="str">
        <f>INDEX(PRIJEVODI!B:D,MATCH("URIC-028",PRIJEVODI!A:A,0),MATCH(NASLOV!$B$2,PRIJEVODI!$B$1:$D$1,0))</f>
        <v>ABZUGSFÄHIG</v>
      </c>
      <c r="S23" s="268" t="str">
        <f>INDEX(PRIJEVODI!B:D,MATCH("URIC-029",PRIJEVODI!A:A,0),MATCH(NASLOV!$B$2,PRIJEVODI!$B$1:$D$1,0))</f>
        <v>NICHT ABZUGSFÄHIG</v>
      </c>
      <c r="T23" s="289"/>
      <c r="U23" s="290"/>
    </row>
    <row r="24" spans="1:22" x14ac:dyDescent="0.2">
      <c r="B24" s="247"/>
      <c r="C24" s="260"/>
      <c r="D24" s="260"/>
      <c r="E24" s="264"/>
      <c r="F24" s="265"/>
      <c r="G24" s="269"/>
      <c r="H24" s="276"/>
      <c r="I24" s="297"/>
      <c r="J24" s="298"/>
      <c r="K24" s="269"/>
      <c r="L24" s="48" t="str">
        <f>INDEX(PRIJEVODI!B:D,MATCH("URIC-019",PRIJEVODI!A:A,0),MATCH(NASLOV!$B$2,PRIJEVODI!$B$1:$D$1,0))</f>
        <v>STEUERBEFREIUNGEN / ABZUGSFÄHIG</v>
      </c>
      <c r="M24" s="260"/>
      <c r="N24" s="269"/>
      <c r="O24" s="269"/>
      <c r="P24" s="269"/>
      <c r="Q24" s="269"/>
      <c r="R24" s="269"/>
      <c r="S24" s="269"/>
      <c r="T24" s="289"/>
      <c r="U24" s="290"/>
    </row>
    <row r="25" spans="1:22" x14ac:dyDescent="0.2">
      <c r="B25" s="247"/>
      <c r="C25" s="260"/>
      <c r="D25" s="260"/>
      <c r="E25" s="264"/>
      <c r="F25" s="265"/>
      <c r="G25" s="269"/>
      <c r="H25" s="277"/>
      <c r="I25" s="295"/>
      <c r="J25" s="296"/>
      <c r="K25" s="269"/>
      <c r="L25" s="46"/>
      <c r="M25" s="260"/>
      <c r="N25" s="269"/>
      <c r="O25" s="269"/>
      <c r="P25" s="269"/>
      <c r="Q25" s="269"/>
      <c r="R25" s="269"/>
      <c r="S25" s="269"/>
      <c r="T25" s="289"/>
      <c r="U25" s="290"/>
    </row>
    <row r="26" spans="1:22" x14ac:dyDescent="0.2">
      <c r="B26" s="247"/>
      <c r="C26" s="260"/>
      <c r="D26" s="260"/>
      <c r="E26" s="264"/>
      <c r="F26" s="265"/>
      <c r="G26" s="269"/>
      <c r="H26" s="292">
        <v>0.05</v>
      </c>
      <c r="I26" s="292">
        <v>0.1</v>
      </c>
      <c r="J26" s="292">
        <v>0.25</v>
      </c>
      <c r="K26" s="269"/>
      <c r="L26" s="46"/>
      <c r="M26" s="260"/>
      <c r="N26" s="269"/>
      <c r="O26" s="269"/>
      <c r="P26" s="269"/>
      <c r="Q26" s="269"/>
      <c r="R26" s="269"/>
      <c r="S26" s="269"/>
      <c r="T26" s="289"/>
      <c r="U26" s="290"/>
    </row>
    <row r="27" spans="1:22" x14ac:dyDescent="0.2">
      <c r="B27" s="248"/>
      <c r="C27" s="261"/>
      <c r="D27" s="261"/>
      <c r="E27" s="266"/>
      <c r="F27" s="267"/>
      <c r="G27" s="270"/>
      <c r="H27" s="261"/>
      <c r="I27" s="261"/>
      <c r="J27" s="261"/>
      <c r="K27" s="270"/>
      <c r="L27" s="47"/>
      <c r="M27" s="261"/>
      <c r="N27" s="270"/>
      <c r="O27" s="270"/>
      <c r="P27" s="270"/>
      <c r="Q27" s="270"/>
      <c r="R27" s="270"/>
      <c r="S27" s="270"/>
      <c r="T27" s="289"/>
      <c r="U27" s="290"/>
    </row>
    <row r="28" spans="1:22" x14ac:dyDescent="0.2">
      <c r="A28" t="s">
        <v>606</v>
      </c>
      <c r="B28" s="33">
        <v>1</v>
      </c>
      <c r="C28" s="33">
        <v>2</v>
      </c>
      <c r="D28" s="33">
        <v>3</v>
      </c>
      <c r="E28" s="275">
        <v>4</v>
      </c>
      <c r="F28" s="291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  <c r="T28" s="289"/>
      <c r="U28" s="290"/>
      <c r="V28" s="1" t="s">
        <v>581</v>
      </c>
    </row>
    <row r="29" spans="1:22" x14ac:dyDescent="0.2">
      <c r="A29" s="1"/>
      <c r="B29" s="3"/>
      <c r="C29" s="117"/>
      <c r="D29" s="39"/>
      <c r="E29" s="107"/>
      <c r="F29" s="2"/>
      <c r="G29" s="74"/>
      <c r="H29" s="2"/>
      <c r="I29" s="2"/>
      <c r="J29" s="108">
        <f>+V29*U29</f>
        <v>0</v>
      </c>
      <c r="K29" s="30">
        <f>J29+M29</f>
        <v>0</v>
      </c>
      <c r="L29" s="34"/>
      <c r="M29" s="114">
        <f>SUM(N29:S29)</f>
        <v>0</v>
      </c>
      <c r="N29" s="2"/>
      <c r="O29" s="2"/>
      <c r="P29" s="2"/>
      <c r="Q29" s="2"/>
      <c r="R29" s="30">
        <f>J29*0.25</f>
        <v>0</v>
      </c>
      <c r="S29" s="2"/>
      <c r="T29" t="s">
        <v>602</v>
      </c>
      <c r="U29" s="109">
        <v>1</v>
      </c>
    </row>
    <row r="30" spans="1:22" x14ac:dyDescent="0.2">
      <c r="A30" s="1"/>
      <c r="B30" s="5"/>
      <c r="C30" s="78"/>
      <c r="D30" s="39"/>
      <c r="E30" s="107"/>
      <c r="F30" s="2"/>
      <c r="G30" s="74"/>
      <c r="H30" s="2"/>
      <c r="I30" s="2"/>
      <c r="J30" s="108">
        <f>+V30*U30</f>
        <v>0</v>
      </c>
      <c r="K30" s="30">
        <f>J30+M30</f>
        <v>0</v>
      </c>
      <c r="L30" s="34"/>
      <c r="M30" s="114">
        <f t="shared" ref="M30:M42" si="0">SUM(N30:S30)</f>
        <v>0</v>
      </c>
      <c r="N30" s="2"/>
      <c r="O30" s="2"/>
      <c r="P30" s="2"/>
      <c r="Q30" s="2"/>
      <c r="R30" s="30">
        <f t="shared" ref="R30:R42" si="1">J30*0.25</f>
        <v>0</v>
      </c>
      <c r="S30" s="2"/>
      <c r="T30" t="s">
        <v>602</v>
      </c>
      <c r="U30" s="109">
        <v>1</v>
      </c>
    </row>
    <row r="31" spans="1:22" x14ac:dyDescent="0.2">
      <c r="A31" s="185">
        <v>9</v>
      </c>
      <c r="B31" s="5">
        <v>1</v>
      </c>
      <c r="C31" s="78">
        <v>18035304</v>
      </c>
      <c r="D31" s="39">
        <v>45688</v>
      </c>
      <c r="E31" s="107" t="s">
        <v>622</v>
      </c>
      <c r="F31" s="2" t="s">
        <v>623</v>
      </c>
      <c r="G31" s="74" t="s">
        <v>624</v>
      </c>
      <c r="H31" s="2"/>
      <c r="I31" s="2"/>
      <c r="J31" s="108">
        <f t="shared" ref="J31:J42" si="2">+V31*U31</f>
        <v>148.29</v>
      </c>
      <c r="K31" s="30">
        <f t="shared" ref="K31:K42" si="3">J31+M31</f>
        <v>185.36249999999998</v>
      </c>
      <c r="L31" s="34"/>
      <c r="M31" s="114">
        <f t="shared" si="0"/>
        <v>37.072499999999998</v>
      </c>
      <c r="N31" s="2"/>
      <c r="O31" s="2"/>
      <c r="P31" s="2"/>
      <c r="Q31" s="2"/>
      <c r="R31" s="30">
        <f t="shared" si="1"/>
        <v>37.072499999999998</v>
      </c>
      <c r="S31" s="2"/>
      <c r="T31" t="s">
        <v>602</v>
      </c>
      <c r="U31" s="109">
        <v>1</v>
      </c>
      <c r="V31">
        <v>148.29</v>
      </c>
    </row>
    <row r="32" spans="1:22" x14ac:dyDescent="0.2">
      <c r="A32" s="220">
        <v>14</v>
      </c>
      <c r="B32" s="5">
        <v>2</v>
      </c>
      <c r="C32" s="78" t="s">
        <v>655</v>
      </c>
      <c r="D32" s="39">
        <v>45689</v>
      </c>
      <c r="E32" s="107" t="s">
        <v>616</v>
      </c>
      <c r="F32" s="2" t="s">
        <v>617</v>
      </c>
      <c r="G32" s="74" t="s">
        <v>618</v>
      </c>
      <c r="H32" s="2"/>
      <c r="I32" s="2"/>
      <c r="J32" s="108">
        <f t="shared" si="2"/>
        <v>10.93</v>
      </c>
      <c r="K32" s="30">
        <f t="shared" si="3"/>
        <v>13.6625</v>
      </c>
      <c r="L32" s="34"/>
      <c r="M32" s="114">
        <f t="shared" si="0"/>
        <v>2.7324999999999999</v>
      </c>
      <c r="N32" s="2"/>
      <c r="O32" s="2"/>
      <c r="P32" s="2"/>
      <c r="Q32" s="2"/>
      <c r="R32" s="30">
        <f t="shared" si="1"/>
        <v>2.7324999999999999</v>
      </c>
      <c r="S32" s="2"/>
      <c r="T32" t="s">
        <v>602</v>
      </c>
      <c r="U32" s="109">
        <v>1</v>
      </c>
      <c r="V32">
        <v>10.93</v>
      </c>
    </row>
    <row r="33" spans="1:22" x14ac:dyDescent="0.2">
      <c r="A33" s="360">
        <v>28</v>
      </c>
      <c r="B33" s="5">
        <v>3</v>
      </c>
      <c r="C33" s="78" t="s">
        <v>669</v>
      </c>
      <c r="D33" s="39">
        <v>45717</v>
      </c>
      <c r="E33" s="107" t="s">
        <v>616</v>
      </c>
      <c r="F33" s="2" t="s">
        <v>617</v>
      </c>
      <c r="G33" s="74" t="s">
        <v>618</v>
      </c>
      <c r="H33" s="2"/>
      <c r="I33" s="2"/>
      <c r="J33" s="108">
        <f t="shared" si="2"/>
        <v>15.8</v>
      </c>
      <c r="K33" s="30">
        <f t="shared" si="3"/>
        <v>19.75</v>
      </c>
      <c r="L33" s="34"/>
      <c r="M33" s="114">
        <f t="shared" si="0"/>
        <v>3.95</v>
      </c>
      <c r="N33" s="2"/>
      <c r="O33" s="2"/>
      <c r="P33" s="2"/>
      <c r="Q33" s="2"/>
      <c r="R33" s="30">
        <f t="shared" si="1"/>
        <v>3.95</v>
      </c>
      <c r="S33" s="2"/>
      <c r="T33" t="s">
        <v>602</v>
      </c>
      <c r="U33" s="109">
        <v>1</v>
      </c>
      <c r="V33">
        <v>15.8</v>
      </c>
    </row>
    <row r="34" spans="1:22" x14ac:dyDescent="0.2">
      <c r="A34" s="360">
        <v>29</v>
      </c>
      <c r="B34" s="5">
        <v>4</v>
      </c>
      <c r="C34" s="78" t="s">
        <v>670</v>
      </c>
      <c r="D34" s="39">
        <v>45375</v>
      </c>
      <c r="E34" s="107" t="s">
        <v>619</v>
      </c>
      <c r="F34" s="2" t="s">
        <v>620</v>
      </c>
      <c r="G34" s="74" t="s">
        <v>621</v>
      </c>
      <c r="H34" s="2"/>
      <c r="I34" s="2"/>
      <c r="J34" s="108">
        <f t="shared" si="2"/>
        <v>192.62</v>
      </c>
      <c r="K34" s="30">
        <f t="shared" si="3"/>
        <v>240.77500000000001</v>
      </c>
      <c r="L34" s="34"/>
      <c r="M34" s="114">
        <f t="shared" si="0"/>
        <v>48.155000000000001</v>
      </c>
      <c r="N34" s="2"/>
      <c r="O34" s="2"/>
      <c r="P34" s="2"/>
      <c r="Q34" s="2"/>
      <c r="R34" s="30">
        <f t="shared" si="1"/>
        <v>48.155000000000001</v>
      </c>
      <c r="S34" s="2"/>
      <c r="T34" t="s">
        <v>602</v>
      </c>
      <c r="U34" s="109">
        <v>1</v>
      </c>
      <c r="V34">
        <v>192.62</v>
      </c>
    </row>
    <row r="35" spans="1:22" x14ac:dyDescent="0.2">
      <c r="A35" s="360">
        <v>41</v>
      </c>
      <c r="B35" s="5">
        <v>5</v>
      </c>
      <c r="C35" s="78">
        <v>897605</v>
      </c>
      <c r="D35" s="39">
        <v>45757</v>
      </c>
      <c r="E35" s="107" t="s">
        <v>622</v>
      </c>
      <c r="F35" s="2" t="s">
        <v>623</v>
      </c>
      <c r="G35" s="74" t="s">
        <v>624</v>
      </c>
      <c r="H35" s="2"/>
      <c r="I35" s="2"/>
      <c r="J35" s="108">
        <f t="shared" si="2"/>
        <v>600</v>
      </c>
      <c r="K35" s="30">
        <f t="shared" si="3"/>
        <v>750</v>
      </c>
      <c r="L35" s="34"/>
      <c r="M35" s="114">
        <f t="shared" si="0"/>
        <v>150</v>
      </c>
      <c r="N35" s="2"/>
      <c r="O35" s="2"/>
      <c r="P35" s="2"/>
      <c r="Q35" s="2"/>
      <c r="R35" s="30">
        <f t="shared" si="1"/>
        <v>150</v>
      </c>
      <c r="S35" s="2"/>
      <c r="T35" t="s">
        <v>602</v>
      </c>
      <c r="U35" s="109">
        <v>1</v>
      </c>
      <c r="V35">
        <v>600</v>
      </c>
    </row>
    <row r="36" spans="1:22" x14ac:dyDescent="0.2">
      <c r="A36" s="360">
        <v>47</v>
      </c>
      <c r="B36" s="5">
        <v>6</v>
      </c>
      <c r="C36" s="78" t="s">
        <v>682</v>
      </c>
      <c r="D36" s="39">
        <v>45778</v>
      </c>
      <c r="E36" s="107" t="s">
        <v>616</v>
      </c>
      <c r="F36" s="2" t="s">
        <v>617</v>
      </c>
      <c r="G36" s="74" t="s">
        <v>618</v>
      </c>
      <c r="H36" s="2"/>
      <c r="I36" s="2"/>
      <c r="J36" s="108">
        <f t="shared" si="2"/>
        <v>11.11</v>
      </c>
      <c r="K36" s="30">
        <f t="shared" si="3"/>
        <v>13.887499999999999</v>
      </c>
      <c r="L36" s="34"/>
      <c r="M36" s="114">
        <f t="shared" si="0"/>
        <v>2.7774999999999999</v>
      </c>
      <c r="N36" s="2"/>
      <c r="O36" s="2"/>
      <c r="P36" s="2"/>
      <c r="Q36" s="2"/>
      <c r="R36" s="30">
        <f t="shared" si="1"/>
        <v>2.7774999999999999</v>
      </c>
      <c r="S36" s="2"/>
      <c r="T36" t="s">
        <v>602</v>
      </c>
      <c r="U36" s="109">
        <v>1</v>
      </c>
      <c r="V36">
        <v>11.11</v>
      </c>
    </row>
    <row r="37" spans="1:22" x14ac:dyDescent="0.2">
      <c r="A37" s="360">
        <v>50</v>
      </c>
      <c r="B37" s="5">
        <v>7</v>
      </c>
      <c r="C37" s="78">
        <v>9760133946</v>
      </c>
      <c r="D37" s="39">
        <v>45786</v>
      </c>
      <c r="E37" s="107" t="s">
        <v>622</v>
      </c>
      <c r="F37" s="2" t="s">
        <v>623</v>
      </c>
      <c r="G37" s="74" t="s">
        <v>624</v>
      </c>
      <c r="H37" s="2"/>
      <c r="I37" s="2"/>
      <c r="J37" s="108">
        <f t="shared" si="2"/>
        <v>341.66</v>
      </c>
      <c r="K37" s="30">
        <f t="shared" si="3"/>
        <v>427.07500000000005</v>
      </c>
      <c r="L37" s="34"/>
      <c r="M37" s="114">
        <f t="shared" si="0"/>
        <v>85.415000000000006</v>
      </c>
      <c r="N37" s="2"/>
      <c r="O37" s="2"/>
      <c r="P37" s="2"/>
      <c r="Q37" s="2"/>
      <c r="R37" s="30">
        <f t="shared" si="1"/>
        <v>85.415000000000006</v>
      </c>
      <c r="S37" s="2"/>
      <c r="T37" t="s">
        <v>602</v>
      </c>
      <c r="U37" s="109">
        <v>1</v>
      </c>
      <c r="V37">
        <v>341.66</v>
      </c>
    </row>
    <row r="38" spans="1:22" x14ac:dyDescent="0.2">
      <c r="A38" s="360">
        <v>51</v>
      </c>
      <c r="B38" s="5">
        <v>8</v>
      </c>
      <c r="C38" s="78">
        <v>1106149</v>
      </c>
      <c r="D38" s="39">
        <v>45792</v>
      </c>
      <c r="E38" s="107" t="s">
        <v>689</v>
      </c>
      <c r="F38" s="2" t="s">
        <v>690</v>
      </c>
      <c r="G38" s="363" t="s">
        <v>691</v>
      </c>
      <c r="H38" s="2"/>
      <c r="I38" s="2"/>
      <c r="J38" s="108">
        <f t="shared" si="2"/>
        <v>135.66999999999999</v>
      </c>
      <c r="K38" s="30">
        <f t="shared" si="3"/>
        <v>169.58749999999998</v>
      </c>
      <c r="L38" s="34"/>
      <c r="M38" s="114">
        <f t="shared" si="0"/>
        <v>33.917499999999997</v>
      </c>
      <c r="N38" s="2"/>
      <c r="O38" s="2"/>
      <c r="P38" s="2"/>
      <c r="Q38" s="2"/>
      <c r="R38" s="30">
        <f t="shared" si="1"/>
        <v>33.917499999999997</v>
      </c>
      <c r="S38" s="2"/>
      <c r="T38" t="s">
        <v>602</v>
      </c>
      <c r="U38" s="109">
        <v>1</v>
      </c>
      <c r="V38">
        <v>135.66999999999999</v>
      </c>
    </row>
    <row r="39" spans="1:22" x14ac:dyDescent="0.2">
      <c r="A39" s="360">
        <v>52</v>
      </c>
      <c r="B39" s="5">
        <v>9</v>
      </c>
      <c r="C39" s="78">
        <v>1171495</v>
      </c>
      <c r="D39" s="39">
        <v>45800</v>
      </c>
      <c r="E39" s="107" t="s">
        <v>625</v>
      </c>
      <c r="F39" s="2" t="s">
        <v>626</v>
      </c>
      <c r="G39" s="74" t="s">
        <v>627</v>
      </c>
      <c r="H39" s="2"/>
      <c r="I39" s="2"/>
      <c r="J39" s="108">
        <f t="shared" si="2"/>
        <v>149.04</v>
      </c>
      <c r="K39" s="30">
        <f t="shared" si="3"/>
        <v>186.29999999999998</v>
      </c>
      <c r="L39" s="34"/>
      <c r="M39" s="114">
        <f t="shared" si="0"/>
        <v>37.26</v>
      </c>
      <c r="N39" s="2"/>
      <c r="O39" s="2"/>
      <c r="P39" s="2"/>
      <c r="Q39" s="2"/>
      <c r="R39" s="30">
        <f t="shared" si="1"/>
        <v>37.26</v>
      </c>
      <c r="S39" s="2"/>
      <c r="T39" t="s">
        <v>602</v>
      </c>
      <c r="U39" s="109">
        <v>1</v>
      </c>
      <c r="V39">
        <v>149.04</v>
      </c>
    </row>
    <row r="40" spans="1:22" x14ac:dyDescent="0.2">
      <c r="A40" s="358"/>
      <c r="B40" s="5"/>
      <c r="C40" s="78"/>
      <c r="D40" s="39"/>
      <c r="E40" s="133"/>
      <c r="F40" s="148"/>
      <c r="G40" s="154"/>
      <c r="H40" s="2"/>
      <c r="I40" s="2"/>
      <c r="J40" s="108">
        <f t="shared" si="2"/>
        <v>0</v>
      </c>
      <c r="K40" s="30">
        <f t="shared" si="3"/>
        <v>0</v>
      </c>
      <c r="L40" s="34"/>
      <c r="M40" s="114">
        <f t="shared" si="0"/>
        <v>0</v>
      </c>
      <c r="N40" s="2"/>
      <c r="O40" s="2"/>
      <c r="P40" s="2"/>
      <c r="Q40" s="2"/>
      <c r="R40" s="30">
        <f t="shared" si="1"/>
        <v>0</v>
      </c>
      <c r="S40" s="2"/>
      <c r="T40" t="s">
        <v>602</v>
      </c>
      <c r="U40" s="109">
        <v>1</v>
      </c>
    </row>
    <row r="41" spans="1:22" x14ac:dyDescent="0.2">
      <c r="A41" s="358"/>
      <c r="B41" s="5"/>
      <c r="C41" s="78"/>
      <c r="D41" s="39"/>
      <c r="E41" s="107"/>
      <c r="F41" s="2"/>
      <c r="G41" s="74"/>
      <c r="H41" s="2"/>
      <c r="I41" s="2"/>
      <c r="J41" s="108">
        <f t="shared" si="2"/>
        <v>0</v>
      </c>
      <c r="K41" s="30">
        <f t="shared" si="3"/>
        <v>0</v>
      </c>
      <c r="L41" s="34"/>
      <c r="M41" s="114">
        <f t="shared" si="0"/>
        <v>0</v>
      </c>
      <c r="N41" s="2"/>
      <c r="O41" s="2"/>
      <c r="P41" s="2"/>
      <c r="Q41" s="2"/>
      <c r="R41" s="30">
        <f t="shared" si="1"/>
        <v>0</v>
      </c>
      <c r="S41" s="2"/>
      <c r="T41" t="s">
        <v>602</v>
      </c>
      <c r="U41" s="109">
        <v>1</v>
      </c>
    </row>
    <row r="42" spans="1:22" x14ac:dyDescent="0.2">
      <c r="A42" s="358"/>
      <c r="B42" s="5"/>
      <c r="C42" s="78"/>
      <c r="D42" s="39"/>
      <c r="E42" s="107"/>
      <c r="F42" s="2"/>
      <c r="G42" s="74"/>
      <c r="H42" s="2"/>
      <c r="I42" s="2"/>
      <c r="J42" s="108">
        <f t="shared" si="2"/>
        <v>0</v>
      </c>
      <c r="K42" s="30">
        <f t="shared" si="3"/>
        <v>0</v>
      </c>
      <c r="L42" s="34"/>
      <c r="M42" s="114">
        <f t="shared" si="0"/>
        <v>0</v>
      </c>
      <c r="N42" s="2"/>
      <c r="O42" s="2"/>
      <c r="P42" s="2"/>
      <c r="Q42" s="2"/>
      <c r="R42" s="30">
        <f t="shared" si="1"/>
        <v>0</v>
      </c>
      <c r="S42" s="2"/>
      <c r="T42" t="s">
        <v>602</v>
      </c>
      <c r="U42" s="109">
        <v>1</v>
      </c>
    </row>
    <row r="43" spans="1:22" x14ac:dyDescent="0.2">
      <c r="A43" s="358"/>
      <c r="B43" s="5"/>
      <c r="C43" s="78"/>
      <c r="D43" s="39"/>
      <c r="E43" s="107"/>
      <c r="F43" s="2"/>
      <c r="G43" s="74"/>
      <c r="H43" s="2"/>
      <c r="I43" s="2"/>
      <c r="J43" s="108">
        <f t="shared" ref="J43:J49" si="4">+V43*U43</f>
        <v>0</v>
      </c>
      <c r="K43" s="30">
        <f t="shared" ref="K43:K49" si="5">J43+M43</f>
        <v>0</v>
      </c>
      <c r="L43" s="34"/>
      <c r="M43" s="114">
        <f t="shared" ref="M43:M49" si="6">SUM(N43:S43)</f>
        <v>0</v>
      </c>
      <c r="N43" s="2"/>
      <c r="O43" s="2"/>
      <c r="P43" s="2"/>
      <c r="Q43" s="2"/>
      <c r="R43" s="30">
        <f t="shared" ref="R43:R49" si="7">J43*0.25</f>
        <v>0</v>
      </c>
      <c r="S43" s="2"/>
      <c r="T43" t="s">
        <v>602</v>
      </c>
      <c r="U43" s="109">
        <v>1</v>
      </c>
    </row>
    <row r="44" spans="1:22" x14ac:dyDescent="0.2">
      <c r="A44" s="358"/>
      <c r="B44" s="5"/>
      <c r="C44" s="78"/>
      <c r="D44" s="39"/>
      <c r="E44" s="107"/>
      <c r="F44" s="2"/>
      <c r="G44" s="74"/>
      <c r="H44" s="2"/>
      <c r="I44" s="2"/>
      <c r="J44" s="108">
        <f t="shared" si="4"/>
        <v>0</v>
      </c>
      <c r="K44" s="30">
        <f t="shared" si="5"/>
        <v>0</v>
      </c>
      <c r="L44" s="34"/>
      <c r="M44" s="114">
        <f t="shared" si="6"/>
        <v>0</v>
      </c>
      <c r="N44" s="2"/>
      <c r="O44" s="2"/>
      <c r="P44" s="2"/>
      <c r="Q44" s="2"/>
      <c r="R44" s="30">
        <f t="shared" si="7"/>
        <v>0</v>
      </c>
      <c r="S44" s="2"/>
      <c r="T44" t="s">
        <v>602</v>
      </c>
      <c r="U44" s="109">
        <v>1</v>
      </c>
    </row>
    <row r="45" spans="1:22" x14ac:dyDescent="0.2">
      <c r="A45" s="368"/>
      <c r="B45" s="5"/>
      <c r="C45" s="78"/>
      <c r="D45" s="39"/>
      <c r="E45" s="107"/>
      <c r="F45" s="2"/>
      <c r="G45" s="74"/>
      <c r="H45" s="2"/>
      <c r="I45" s="2"/>
      <c r="J45" s="108">
        <f t="shared" si="4"/>
        <v>0</v>
      </c>
      <c r="K45" s="30">
        <f t="shared" si="5"/>
        <v>0</v>
      </c>
      <c r="L45" s="34"/>
      <c r="M45" s="114">
        <f t="shared" si="6"/>
        <v>0</v>
      </c>
      <c r="N45" s="2"/>
      <c r="O45" s="2"/>
      <c r="P45" s="2"/>
      <c r="Q45" s="2"/>
      <c r="R45" s="30">
        <f t="shared" si="7"/>
        <v>0</v>
      </c>
      <c r="S45" s="2"/>
      <c r="T45" t="s">
        <v>602</v>
      </c>
      <c r="U45" s="109">
        <v>1</v>
      </c>
    </row>
    <row r="46" spans="1:22" x14ac:dyDescent="0.2">
      <c r="A46" s="211"/>
      <c r="B46" s="5"/>
      <c r="C46" s="78"/>
      <c r="D46" s="39"/>
      <c r="E46" s="107"/>
      <c r="F46" s="2"/>
      <c r="G46" s="74"/>
      <c r="H46" s="2"/>
      <c r="I46" s="2"/>
      <c r="J46" s="108">
        <f t="shared" si="4"/>
        <v>0</v>
      </c>
      <c r="K46" s="30">
        <f t="shared" si="5"/>
        <v>0</v>
      </c>
      <c r="L46" s="34"/>
      <c r="M46" s="114">
        <f t="shared" si="6"/>
        <v>0</v>
      </c>
      <c r="N46" s="2"/>
      <c r="O46" s="2"/>
      <c r="P46" s="2"/>
      <c r="Q46" s="2"/>
      <c r="R46" s="30">
        <f t="shared" si="7"/>
        <v>0</v>
      </c>
      <c r="S46" s="2"/>
      <c r="T46" t="s">
        <v>602</v>
      </c>
      <c r="U46" s="109">
        <v>1</v>
      </c>
    </row>
    <row r="47" spans="1:22" x14ac:dyDescent="0.2">
      <c r="A47" s="211"/>
      <c r="B47" s="5"/>
      <c r="C47" s="78"/>
      <c r="D47" s="39"/>
      <c r="E47" s="107"/>
      <c r="F47" s="2"/>
      <c r="G47" s="74"/>
      <c r="H47" s="2"/>
      <c r="I47" s="2"/>
      <c r="J47" s="108">
        <f t="shared" si="4"/>
        <v>0</v>
      </c>
      <c r="K47" s="30">
        <f t="shared" si="5"/>
        <v>0</v>
      </c>
      <c r="L47" s="34"/>
      <c r="M47" s="114">
        <f t="shared" si="6"/>
        <v>0</v>
      </c>
      <c r="N47" s="2"/>
      <c r="O47" s="2"/>
      <c r="P47" s="2"/>
      <c r="Q47" s="2"/>
      <c r="R47" s="30">
        <f t="shared" si="7"/>
        <v>0</v>
      </c>
      <c r="S47" s="2"/>
      <c r="T47" t="s">
        <v>602</v>
      </c>
      <c r="U47" s="109">
        <v>1</v>
      </c>
    </row>
    <row r="48" spans="1:22" x14ac:dyDescent="0.2">
      <c r="A48" s="211"/>
      <c r="B48" s="5"/>
      <c r="C48" s="78"/>
      <c r="D48" s="39"/>
      <c r="E48" s="107"/>
      <c r="F48" s="2"/>
      <c r="G48" s="74"/>
      <c r="H48" s="2"/>
      <c r="I48" s="2"/>
      <c r="J48" s="108">
        <f t="shared" si="4"/>
        <v>0</v>
      </c>
      <c r="K48" s="30">
        <f t="shared" si="5"/>
        <v>0</v>
      </c>
      <c r="L48" s="34"/>
      <c r="M48" s="114">
        <f t="shared" si="6"/>
        <v>0</v>
      </c>
      <c r="N48" s="2"/>
      <c r="O48" s="2"/>
      <c r="P48" s="2"/>
      <c r="Q48" s="2"/>
      <c r="R48" s="30">
        <f t="shared" si="7"/>
        <v>0</v>
      </c>
      <c r="S48" s="2"/>
      <c r="T48" t="s">
        <v>602</v>
      </c>
      <c r="U48" s="109">
        <v>1</v>
      </c>
    </row>
    <row r="49" spans="1:21" x14ac:dyDescent="0.2">
      <c r="A49" s="211"/>
      <c r="B49" s="5"/>
      <c r="C49" s="78"/>
      <c r="D49" s="39"/>
      <c r="E49" s="107"/>
      <c r="F49" s="2"/>
      <c r="G49" s="74"/>
      <c r="H49" s="2"/>
      <c r="I49" s="2"/>
      <c r="J49" s="108">
        <f t="shared" si="4"/>
        <v>0</v>
      </c>
      <c r="K49" s="30">
        <f t="shared" si="5"/>
        <v>0</v>
      </c>
      <c r="L49" s="34"/>
      <c r="M49" s="114">
        <f t="shared" si="6"/>
        <v>0</v>
      </c>
      <c r="N49" s="2"/>
      <c r="O49" s="2"/>
      <c r="P49" s="2"/>
      <c r="Q49" s="2"/>
      <c r="R49" s="30">
        <f t="shared" si="7"/>
        <v>0</v>
      </c>
      <c r="S49" s="2"/>
      <c r="T49" t="s">
        <v>602</v>
      </c>
      <c r="U49" s="109">
        <v>1</v>
      </c>
    </row>
    <row r="50" spans="1:21" x14ac:dyDescent="0.2">
      <c r="A50" s="211"/>
      <c r="B50" s="5"/>
      <c r="C50" s="78"/>
      <c r="D50" s="39"/>
      <c r="E50" s="107"/>
      <c r="F50" s="2"/>
      <c r="G50" s="74"/>
      <c r="H50" s="2"/>
      <c r="I50" s="2"/>
      <c r="J50" s="108">
        <f t="shared" ref="J50:J55" si="8">+V50*U50</f>
        <v>0</v>
      </c>
      <c r="K50" s="30">
        <f t="shared" ref="K50:K55" si="9">J50+M50</f>
        <v>0</v>
      </c>
      <c r="L50" s="34"/>
      <c r="M50" s="114">
        <f t="shared" ref="M50:M55" si="10">SUM(N50:S50)</f>
        <v>0</v>
      </c>
      <c r="N50" s="2"/>
      <c r="O50" s="2"/>
      <c r="P50" s="2"/>
      <c r="Q50" s="2"/>
      <c r="R50" s="30">
        <f t="shared" ref="R50:R55" si="11">J50*0.25</f>
        <v>0</v>
      </c>
      <c r="S50" s="2"/>
      <c r="T50" t="s">
        <v>602</v>
      </c>
      <c r="U50" s="109">
        <v>1</v>
      </c>
    </row>
    <row r="51" spans="1:21" x14ac:dyDescent="0.2">
      <c r="A51" s="211"/>
      <c r="B51" s="5"/>
      <c r="C51" s="78"/>
      <c r="D51" s="39"/>
      <c r="E51" s="107"/>
      <c r="F51" s="2"/>
      <c r="G51" s="74"/>
      <c r="H51" s="2"/>
      <c r="I51" s="2"/>
      <c r="J51" s="108">
        <f t="shared" si="8"/>
        <v>0</v>
      </c>
      <c r="K51" s="30">
        <f t="shared" si="9"/>
        <v>0</v>
      </c>
      <c r="L51" s="34"/>
      <c r="M51" s="114">
        <f t="shared" si="10"/>
        <v>0</v>
      </c>
      <c r="N51" s="2"/>
      <c r="O51" s="2"/>
      <c r="P51" s="2"/>
      <c r="Q51" s="2"/>
      <c r="R51" s="30">
        <f t="shared" si="11"/>
        <v>0</v>
      </c>
      <c r="S51" s="2"/>
      <c r="T51" t="s">
        <v>602</v>
      </c>
      <c r="U51" s="109">
        <v>1</v>
      </c>
    </row>
    <row r="52" spans="1:21" x14ac:dyDescent="0.2">
      <c r="A52" s="211"/>
      <c r="B52" s="5"/>
      <c r="C52" s="78"/>
      <c r="D52" s="39"/>
      <c r="E52" s="107"/>
      <c r="F52" s="2"/>
      <c r="G52" s="74"/>
      <c r="H52" s="2"/>
      <c r="I52" s="2"/>
      <c r="J52" s="108">
        <f t="shared" si="8"/>
        <v>0</v>
      </c>
      <c r="K52" s="30">
        <f t="shared" si="9"/>
        <v>0</v>
      </c>
      <c r="L52" s="34"/>
      <c r="M52" s="114">
        <f t="shared" si="10"/>
        <v>0</v>
      </c>
      <c r="N52" s="2"/>
      <c r="O52" s="2"/>
      <c r="P52" s="2"/>
      <c r="Q52" s="2"/>
      <c r="R52" s="30">
        <f t="shared" si="11"/>
        <v>0</v>
      </c>
      <c r="S52" s="2"/>
      <c r="T52" t="s">
        <v>602</v>
      </c>
      <c r="U52" s="109">
        <v>1</v>
      </c>
    </row>
    <row r="53" spans="1:21" x14ac:dyDescent="0.2">
      <c r="A53" s="211"/>
      <c r="B53" s="5"/>
      <c r="C53" s="78"/>
      <c r="D53" s="39"/>
      <c r="E53" s="107"/>
      <c r="F53" s="2"/>
      <c r="G53" s="74"/>
      <c r="H53" s="2"/>
      <c r="I53" s="2"/>
      <c r="J53" s="108">
        <f t="shared" si="8"/>
        <v>0</v>
      </c>
      <c r="K53" s="30">
        <f t="shared" si="9"/>
        <v>0</v>
      </c>
      <c r="L53" s="34"/>
      <c r="M53" s="114">
        <f t="shared" si="10"/>
        <v>0</v>
      </c>
      <c r="N53" s="2"/>
      <c r="O53" s="2"/>
      <c r="P53" s="2"/>
      <c r="Q53" s="2"/>
      <c r="R53" s="30">
        <f t="shared" si="11"/>
        <v>0</v>
      </c>
      <c r="S53" s="2"/>
      <c r="T53" t="s">
        <v>602</v>
      </c>
      <c r="U53" s="109">
        <v>1</v>
      </c>
    </row>
    <row r="54" spans="1:21" x14ac:dyDescent="0.2">
      <c r="A54" s="358"/>
      <c r="B54" s="5"/>
      <c r="C54" s="78"/>
      <c r="D54" s="39"/>
      <c r="E54" s="107"/>
      <c r="F54" s="2"/>
      <c r="G54" s="74"/>
      <c r="H54" s="2"/>
      <c r="I54" s="2"/>
      <c r="J54" s="108">
        <f t="shared" si="8"/>
        <v>0</v>
      </c>
      <c r="K54" s="30">
        <f t="shared" si="9"/>
        <v>0</v>
      </c>
      <c r="L54" s="34"/>
      <c r="M54" s="114">
        <f t="shared" si="10"/>
        <v>0</v>
      </c>
      <c r="N54" s="2"/>
      <c r="O54" s="2"/>
      <c r="P54" s="2"/>
      <c r="Q54" s="2"/>
      <c r="R54" s="30">
        <f t="shared" si="11"/>
        <v>0</v>
      </c>
      <c r="S54" s="2"/>
      <c r="T54" t="s">
        <v>602</v>
      </c>
      <c r="U54" s="109">
        <v>1</v>
      </c>
    </row>
    <row r="55" spans="1:21" ht="13.5" thickBot="1" x14ac:dyDescent="0.25">
      <c r="A55" s="211"/>
      <c r="B55" s="174"/>
      <c r="C55" s="182"/>
      <c r="D55" s="163"/>
      <c r="E55" s="162"/>
      <c r="F55" s="175"/>
      <c r="G55" s="212"/>
      <c r="H55" s="2"/>
      <c r="I55" s="2"/>
      <c r="J55" s="108">
        <f t="shared" si="8"/>
        <v>0</v>
      </c>
      <c r="K55" s="30">
        <f t="shared" si="9"/>
        <v>0</v>
      </c>
      <c r="L55" s="34"/>
      <c r="M55" s="114">
        <f t="shared" si="10"/>
        <v>0</v>
      </c>
      <c r="N55" s="2"/>
      <c r="O55" s="2"/>
      <c r="P55" s="2"/>
      <c r="Q55" s="2"/>
      <c r="R55" s="30">
        <f t="shared" si="11"/>
        <v>0</v>
      </c>
      <c r="S55" s="2"/>
      <c r="T55" t="s">
        <v>602</v>
      </c>
      <c r="U55" s="109">
        <v>1</v>
      </c>
    </row>
    <row r="56" spans="1:21" x14ac:dyDescent="0.2">
      <c r="A56" s="213"/>
      <c r="B56" s="18"/>
      <c r="C56" s="160"/>
      <c r="D56" s="144"/>
      <c r="E56" s="137"/>
      <c r="F56" s="145"/>
      <c r="G56" s="121"/>
      <c r="H56" s="2"/>
      <c r="I56" s="2"/>
      <c r="J56" s="108">
        <f t="shared" ref="J56:J69" si="12">+V56*U56</f>
        <v>0</v>
      </c>
      <c r="K56" s="30">
        <f t="shared" ref="K56:K69" si="13">J56+M56</f>
        <v>0</v>
      </c>
      <c r="L56" s="34"/>
      <c r="M56" s="114">
        <f t="shared" ref="M56:M69" si="14">SUM(N56:S56)</f>
        <v>0</v>
      </c>
      <c r="N56" s="2"/>
      <c r="O56" s="2"/>
      <c r="P56" s="2"/>
      <c r="Q56" s="2"/>
      <c r="R56" s="30">
        <f t="shared" ref="R56:R69" si="15">J56*0.25</f>
        <v>0</v>
      </c>
      <c r="S56" s="2"/>
      <c r="T56" t="s">
        <v>602</v>
      </c>
      <c r="U56" s="109">
        <v>1</v>
      </c>
    </row>
    <row r="57" spans="1:21" x14ac:dyDescent="0.2">
      <c r="A57" s="211"/>
      <c r="B57" s="286" t="s">
        <v>701</v>
      </c>
      <c r="C57" s="287"/>
      <c r="D57" s="287"/>
      <c r="E57" s="287"/>
      <c r="F57" s="287"/>
      <c r="G57" s="288"/>
      <c r="H57" s="2"/>
      <c r="I57" s="2"/>
      <c r="J57" s="108">
        <f t="shared" si="12"/>
        <v>0</v>
      </c>
      <c r="K57" s="30">
        <f t="shared" si="13"/>
        <v>0</v>
      </c>
      <c r="L57" s="34"/>
      <c r="M57" s="114">
        <f t="shared" si="14"/>
        <v>0</v>
      </c>
      <c r="N57" s="2"/>
      <c r="O57" s="2"/>
      <c r="P57" s="2"/>
      <c r="Q57" s="2"/>
      <c r="R57" s="30">
        <f t="shared" si="15"/>
        <v>0</v>
      </c>
      <c r="S57" s="2"/>
      <c r="T57" t="s">
        <v>602</v>
      </c>
      <c r="U57" s="109">
        <v>1</v>
      </c>
    </row>
    <row r="58" spans="1:21" ht="13.5" thickBot="1" x14ac:dyDescent="0.25">
      <c r="A58" s="364"/>
      <c r="B58" s="179"/>
      <c r="C58" s="180"/>
      <c r="D58" s="159"/>
      <c r="E58" s="158"/>
      <c r="F58" s="13"/>
      <c r="G58" s="181"/>
      <c r="H58" s="2"/>
      <c r="I58" s="2"/>
      <c r="J58" s="108">
        <f t="shared" si="12"/>
        <v>0</v>
      </c>
      <c r="K58" s="30">
        <f t="shared" si="13"/>
        <v>0</v>
      </c>
      <c r="L58" s="34"/>
      <c r="M58" s="114">
        <f t="shared" si="14"/>
        <v>0</v>
      </c>
      <c r="N58" s="2"/>
      <c r="O58" s="2"/>
      <c r="P58" s="2"/>
      <c r="Q58" s="2"/>
      <c r="R58" s="30">
        <f t="shared" si="15"/>
        <v>0</v>
      </c>
      <c r="S58" s="2"/>
      <c r="T58" t="s">
        <v>602</v>
      </c>
      <c r="U58" s="109">
        <v>1</v>
      </c>
    </row>
    <row r="59" spans="1:21" x14ac:dyDescent="0.2">
      <c r="A59" s="211"/>
      <c r="B59" s="131"/>
      <c r="C59" s="153"/>
      <c r="D59" s="135"/>
      <c r="E59" s="107"/>
      <c r="F59" s="2"/>
      <c r="G59" s="74"/>
      <c r="H59" s="2"/>
      <c r="I59" s="2"/>
      <c r="J59" s="108">
        <f t="shared" si="12"/>
        <v>0</v>
      </c>
      <c r="K59" s="30">
        <f t="shared" si="13"/>
        <v>0</v>
      </c>
      <c r="L59" s="34"/>
      <c r="M59" s="114">
        <f t="shared" si="14"/>
        <v>0</v>
      </c>
      <c r="N59" s="2"/>
      <c r="O59" s="2"/>
      <c r="P59" s="2"/>
      <c r="Q59" s="2"/>
      <c r="R59" s="30">
        <f t="shared" si="15"/>
        <v>0</v>
      </c>
      <c r="S59" s="2"/>
      <c r="T59" t="s">
        <v>602</v>
      </c>
      <c r="U59" s="109">
        <v>1</v>
      </c>
    </row>
    <row r="60" spans="1:21" x14ac:dyDescent="0.2">
      <c r="A60" s="358"/>
      <c r="B60" s="5"/>
      <c r="C60" s="78"/>
      <c r="D60" s="39"/>
      <c r="E60" s="107"/>
      <c r="F60" s="2"/>
      <c r="G60" s="74"/>
      <c r="H60" s="2"/>
      <c r="I60" s="2"/>
      <c r="J60" s="108">
        <f t="shared" si="12"/>
        <v>0</v>
      </c>
      <c r="K60" s="30">
        <f t="shared" si="13"/>
        <v>0</v>
      </c>
      <c r="L60" s="34"/>
      <c r="M60" s="114">
        <f t="shared" si="14"/>
        <v>0</v>
      </c>
      <c r="N60" s="2"/>
      <c r="O60" s="2"/>
      <c r="P60" s="2"/>
      <c r="Q60" s="2"/>
      <c r="R60" s="30">
        <f t="shared" si="15"/>
        <v>0</v>
      </c>
      <c r="S60" s="2"/>
      <c r="T60" t="s">
        <v>602</v>
      </c>
      <c r="U60" s="109">
        <v>1</v>
      </c>
    </row>
    <row r="61" spans="1:21" ht="13.5" thickBot="1" x14ac:dyDescent="0.25">
      <c r="A61" s="368"/>
      <c r="B61" s="229"/>
      <c r="C61" s="153"/>
      <c r="D61" s="135"/>
      <c r="E61" s="133"/>
      <c r="F61" s="148"/>
      <c r="G61" s="154"/>
      <c r="H61" s="2"/>
      <c r="I61" s="2"/>
      <c r="J61" s="108">
        <f t="shared" si="12"/>
        <v>0</v>
      </c>
      <c r="K61" s="30">
        <f t="shared" si="13"/>
        <v>0</v>
      </c>
      <c r="L61" s="34"/>
      <c r="M61" s="114">
        <f t="shared" si="14"/>
        <v>0</v>
      </c>
      <c r="N61" s="2"/>
      <c r="O61" s="2"/>
      <c r="P61" s="2"/>
      <c r="Q61" s="2"/>
      <c r="R61" s="30">
        <f t="shared" si="15"/>
        <v>0</v>
      </c>
      <c r="S61" s="2"/>
      <c r="T61" t="s">
        <v>602</v>
      </c>
      <c r="U61" s="109">
        <v>1</v>
      </c>
    </row>
    <row r="62" spans="1:21" x14ac:dyDescent="0.2">
      <c r="A62" s="120"/>
      <c r="B62" s="18"/>
      <c r="C62" s="160"/>
      <c r="D62" s="144"/>
      <c r="E62" s="137"/>
      <c r="F62" s="145"/>
      <c r="G62" s="121"/>
      <c r="H62" s="2"/>
      <c r="I62" s="2"/>
      <c r="J62" s="108">
        <f t="shared" si="12"/>
        <v>0</v>
      </c>
      <c r="K62" s="30">
        <f t="shared" si="13"/>
        <v>0</v>
      </c>
      <c r="L62" s="34"/>
      <c r="M62" s="114">
        <f t="shared" si="14"/>
        <v>0</v>
      </c>
      <c r="N62" s="2"/>
      <c r="O62" s="2"/>
      <c r="P62" s="2"/>
      <c r="Q62" s="2"/>
      <c r="R62" s="30">
        <f t="shared" si="15"/>
        <v>0</v>
      </c>
      <c r="S62" s="2"/>
      <c r="T62" t="s">
        <v>602</v>
      </c>
      <c r="U62" s="109">
        <v>1</v>
      </c>
    </row>
    <row r="63" spans="1:21" x14ac:dyDescent="0.2">
      <c r="A63" s="1"/>
      <c r="B63" s="365" t="s">
        <v>702</v>
      </c>
      <c r="C63" s="366"/>
      <c r="D63" s="366"/>
      <c r="E63" s="366"/>
      <c r="F63" s="366"/>
      <c r="G63" s="367"/>
      <c r="H63" s="2"/>
      <c r="I63" s="2"/>
      <c r="J63" s="108">
        <f t="shared" si="12"/>
        <v>0</v>
      </c>
      <c r="K63" s="30">
        <f t="shared" si="13"/>
        <v>0</v>
      </c>
      <c r="L63" s="34"/>
      <c r="M63" s="114">
        <f t="shared" si="14"/>
        <v>0</v>
      </c>
      <c r="N63" s="2"/>
      <c r="O63" s="2"/>
      <c r="P63" s="2"/>
      <c r="Q63" s="2"/>
      <c r="R63" s="30">
        <f t="shared" si="15"/>
        <v>0</v>
      </c>
      <c r="S63" s="2"/>
      <c r="T63" t="s">
        <v>602</v>
      </c>
      <c r="U63" s="109">
        <v>1</v>
      </c>
    </row>
    <row r="64" spans="1:21" ht="13.5" thickBot="1" x14ac:dyDescent="0.25">
      <c r="A64" s="155"/>
      <c r="B64" s="179"/>
      <c r="C64" s="180"/>
      <c r="D64" s="159"/>
      <c r="E64" s="158"/>
      <c r="F64" s="13"/>
      <c r="G64" s="181"/>
      <c r="H64" s="2"/>
      <c r="I64" s="2"/>
      <c r="J64" s="108">
        <f t="shared" si="12"/>
        <v>0</v>
      </c>
      <c r="K64" s="30">
        <f t="shared" si="13"/>
        <v>0</v>
      </c>
      <c r="L64" s="34"/>
      <c r="M64" s="114">
        <f t="shared" si="14"/>
        <v>0</v>
      </c>
      <c r="N64" s="2"/>
      <c r="O64" s="2"/>
      <c r="P64" s="2"/>
      <c r="Q64" s="2"/>
      <c r="R64" s="30">
        <f t="shared" si="15"/>
        <v>0</v>
      </c>
      <c r="S64" s="2"/>
      <c r="T64" t="s">
        <v>602</v>
      </c>
      <c r="U64" s="109">
        <v>1</v>
      </c>
    </row>
    <row r="65" spans="1:21" x14ac:dyDescent="0.2">
      <c r="A65" s="1"/>
      <c r="B65" s="131"/>
      <c r="C65" s="153"/>
      <c r="D65" s="135"/>
      <c r="E65" s="133"/>
      <c r="F65" s="148"/>
      <c r="G65" s="154"/>
      <c r="H65" s="2"/>
      <c r="I65" s="2"/>
      <c r="J65" s="108">
        <f t="shared" si="12"/>
        <v>0</v>
      </c>
      <c r="K65" s="30">
        <f t="shared" si="13"/>
        <v>0</v>
      </c>
      <c r="L65" s="34"/>
      <c r="M65" s="114">
        <f t="shared" si="14"/>
        <v>0</v>
      </c>
      <c r="N65" s="2"/>
      <c r="O65" s="2"/>
      <c r="P65" s="2"/>
      <c r="Q65" s="2"/>
      <c r="R65" s="30">
        <f t="shared" si="15"/>
        <v>0</v>
      </c>
      <c r="S65" s="2"/>
      <c r="T65" t="s">
        <v>602</v>
      </c>
      <c r="U65" s="109">
        <v>1</v>
      </c>
    </row>
    <row r="66" spans="1:21" x14ac:dyDescent="0.2">
      <c r="A66" s="211"/>
      <c r="B66" s="131"/>
      <c r="C66" s="78"/>
      <c r="D66" s="39"/>
      <c r="E66" s="107"/>
      <c r="F66" s="2"/>
      <c r="G66" s="74"/>
      <c r="H66" s="2"/>
      <c r="I66" s="2"/>
      <c r="J66" s="108">
        <f t="shared" si="12"/>
        <v>0</v>
      </c>
      <c r="K66" s="30">
        <f t="shared" si="13"/>
        <v>0</v>
      </c>
      <c r="L66" s="34"/>
      <c r="M66" s="114">
        <f t="shared" si="14"/>
        <v>0</v>
      </c>
      <c r="N66" s="2"/>
      <c r="O66" s="2"/>
      <c r="P66" s="2"/>
      <c r="Q66" s="2"/>
      <c r="R66" s="30">
        <f t="shared" si="15"/>
        <v>0</v>
      </c>
      <c r="S66" s="2"/>
      <c r="T66" t="s">
        <v>602</v>
      </c>
      <c r="U66" s="109">
        <v>1</v>
      </c>
    </row>
    <row r="67" spans="1:21" x14ac:dyDescent="0.2">
      <c r="A67" s="211"/>
      <c r="B67" s="131"/>
      <c r="C67" s="153"/>
      <c r="D67" s="135"/>
      <c r="E67" s="133"/>
      <c r="F67" s="148"/>
      <c r="G67" s="154"/>
      <c r="H67" s="2"/>
      <c r="I67" s="2"/>
      <c r="J67" s="108">
        <f t="shared" si="12"/>
        <v>0</v>
      </c>
      <c r="K67" s="30">
        <f t="shared" si="13"/>
        <v>0</v>
      </c>
      <c r="L67" s="34"/>
      <c r="M67" s="114">
        <f t="shared" si="14"/>
        <v>0</v>
      </c>
      <c r="N67" s="2"/>
      <c r="O67" s="2"/>
      <c r="P67" s="2"/>
      <c r="Q67" s="2"/>
      <c r="R67" s="30">
        <f t="shared" si="15"/>
        <v>0</v>
      </c>
      <c r="S67" s="2"/>
      <c r="T67" t="s">
        <v>602</v>
      </c>
      <c r="U67" s="109">
        <v>1</v>
      </c>
    </row>
    <row r="68" spans="1:21" x14ac:dyDescent="0.2">
      <c r="A68" s="211"/>
      <c r="B68" s="131"/>
      <c r="C68" s="153"/>
      <c r="D68" s="135"/>
      <c r="E68" s="107"/>
      <c r="F68" s="2"/>
      <c r="G68" s="74"/>
      <c r="H68" s="2"/>
      <c r="I68" s="2"/>
      <c r="J68" s="108">
        <f t="shared" si="12"/>
        <v>0</v>
      </c>
      <c r="K68" s="30">
        <f t="shared" si="13"/>
        <v>0</v>
      </c>
      <c r="L68" s="34"/>
      <c r="M68" s="114">
        <f t="shared" si="14"/>
        <v>0</v>
      </c>
      <c r="N68" s="2"/>
      <c r="O68" s="2"/>
      <c r="P68" s="2"/>
      <c r="Q68" s="2"/>
      <c r="R68" s="30">
        <f t="shared" si="15"/>
        <v>0</v>
      </c>
      <c r="S68" s="2"/>
      <c r="T68" t="s">
        <v>602</v>
      </c>
      <c r="U68" s="109">
        <v>1</v>
      </c>
    </row>
    <row r="69" spans="1:21" ht="13.5" thickBot="1" x14ac:dyDescent="0.25">
      <c r="A69" s="211"/>
      <c r="B69" s="201"/>
      <c r="C69" s="182"/>
      <c r="D69" s="163"/>
      <c r="E69" s="162"/>
      <c r="F69" s="175"/>
      <c r="G69" s="212"/>
      <c r="H69" s="2"/>
      <c r="I69" s="2"/>
      <c r="J69" s="108">
        <f t="shared" si="12"/>
        <v>0</v>
      </c>
      <c r="K69" s="30">
        <f t="shared" si="13"/>
        <v>0</v>
      </c>
      <c r="L69" s="34"/>
      <c r="M69" s="114">
        <f t="shared" si="14"/>
        <v>0</v>
      </c>
      <c r="N69" s="2"/>
      <c r="O69" s="2"/>
      <c r="P69" s="2"/>
      <c r="Q69" s="2"/>
      <c r="R69" s="30">
        <f t="shared" si="15"/>
        <v>0</v>
      </c>
      <c r="S69" s="2"/>
      <c r="T69" t="s">
        <v>602</v>
      </c>
      <c r="U69" s="109">
        <v>1</v>
      </c>
    </row>
    <row r="70" spans="1:21" x14ac:dyDescent="0.2">
      <c r="A70" s="213"/>
      <c r="B70" s="18"/>
      <c r="C70" s="160"/>
      <c r="D70" s="144"/>
      <c r="E70" s="137"/>
      <c r="F70" s="145"/>
      <c r="G70" s="121"/>
      <c r="H70" s="2"/>
      <c r="I70" s="2"/>
      <c r="J70" s="108">
        <f t="shared" ref="J70:J87" si="16">+V70*U70</f>
        <v>0</v>
      </c>
      <c r="K70" s="30">
        <f t="shared" ref="K70:K87" si="17">J70+M70</f>
        <v>0</v>
      </c>
      <c r="L70" s="34"/>
      <c r="M70" s="114">
        <f t="shared" ref="M70:M87" si="18">SUM(N70:S70)</f>
        <v>0</v>
      </c>
      <c r="N70" s="2"/>
      <c r="O70" s="2"/>
      <c r="P70" s="2"/>
      <c r="Q70" s="2"/>
      <c r="R70" s="30">
        <f t="shared" ref="R70:R87" si="19">J70*0.25</f>
        <v>0</v>
      </c>
      <c r="S70" s="2"/>
      <c r="T70" t="s">
        <v>602</v>
      </c>
      <c r="U70" s="109">
        <v>1</v>
      </c>
    </row>
    <row r="71" spans="1:21" x14ac:dyDescent="0.2">
      <c r="A71" s="368"/>
      <c r="B71" s="365" t="s">
        <v>703</v>
      </c>
      <c r="C71" s="366"/>
      <c r="D71" s="366"/>
      <c r="E71" s="366"/>
      <c r="F71" s="366"/>
      <c r="G71" s="367"/>
      <c r="H71" s="2"/>
      <c r="I71" s="2"/>
      <c r="J71" s="108">
        <f t="shared" si="16"/>
        <v>0</v>
      </c>
      <c r="K71" s="30">
        <f t="shared" si="17"/>
        <v>0</v>
      </c>
      <c r="L71" s="34"/>
      <c r="M71" s="114">
        <f t="shared" si="18"/>
        <v>0</v>
      </c>
      <c r="N71" s="2"/>
      <c r="O71" s="2"/>
      <c r="P71" s="2"/>
      <c r="Q71" s="2"/>
      <c r="R71" s="30">
        <f t="shared" si="19"/>
        <v>0</v>
      </c>
      <c r="S71" s="2"/>
      <c r="T71" t="s">
        <v>602</v>
      </c>
      <c r="U71" s="109">
        <v>1</v>
      </c>
    </row>
    <row r="72" spans="1:21" ht="13.5" thickBot="1" x14ac:dyDescent="0.25">
      <c r="A72" s="364"/>
      <c r="B72" s="156"/>
      <c r="C72" s="156"/>
      <c r="D72" s="156"/>
      <c r="E72" s="151"/>
      <c r="F72" s="151"/>
      <c r="G72" s="156"/>
      <c r="H72" s="2"/>
      <c r="I72" s="2"/>
      <c r="J72" s="108">
        <f t="shared" si="16"/>
        <v>0</v>
      </c>
      <c r="K72" s="30">
        <f t="shared" si="17"/>
        <v>0</v>
      </c>
      <c r="L72" s="34"/>
      <c r="M72" s="114">
        <f t="shared" si="18"/>
        <v>0</v>
      </c>
      <c r="N72" s="2"/>
      <c r="O72" s="2"/>
      <c r="P72" s="2"/>
      <c r="Q72" s="2"/>
      <c r="R72" s="30">
        <f t="shared" si="19"/>
        <v>0</v>
      </c>
      <c r="S72" s="2"/>
      <c r="T72" t="s">
        <v>602</v>
      </c>
      <c r="U72" s="109">
        <v>1</v>
      </c>
    </row>
    <row r="73" spans="1:21" x14ac:dyDescent="0.2">
      <c r="A73" s="368"/>
      <c r="B73" s="18"/>
      <c r="C73" s="18"/>
      <c r="D73" s="18"/>
      <c r="E73" s="130"/>
      <c r="F73" s="130"/>
      <c r="G73" s="221"/>
      <c r="H73" s="2"/>
      <c r="I73" s="2"/>
      <c r="J73" s="108">
        <f t="shared" si="16"/>
        <v>0</v>
      </c>
      <c r="K73" s="30">
        <f t="shared" si="17"/>
        <v>0</v>
      </c>
      <c r="L73" s="34"/>
      <c r="M73" s="114">
        <f t="shared" si="18"/>
        <v>0</v>
      </c>
      <c r="N73" s="2"/>
      <c r="O73" s="2"/>
      <c r="P73" s="2"/>
      <c r="Q73" s="2"/>
      <c r="R73" s="30">
        <f t="shared" si="19"/>
        <v>0</v>
      </c>
      <c r="S73" s="2"/>
      <c r="T73" t="s">
        <v>602</v>
      </c>
      <c r="U73" s="109">
        <v>1</v>
      </c>
    </row>
    <row r="74" spans="1:21" x14ac:dyDescent="0.2">
      <c r="A74" s="368"/>
      <c r="B74" s="5"/>
      <c r="C74" s="153"/>
      <c r="D74" s="39"/>
      <c r="E74" s="107"/>
      <c r="F74" s="2"/>
      <c r="G74" s="74"/>
      <c r="H74" s="2"/>
      <c r="I74" s="2"/>
      <c r="J74" s="108">
        <f t="shared" si="16"/>
        <v>0</v>
      </c>
      <c r="K74" s="30">
        <f t="shared" si="17"/>
        <v>0</v>
      </c>
      <c r="L74" s="34"/>
      <c r="M74" s="114">
        <f t="shared" si="18"/>
        <v>0</v>
      </c>
      <c r="N74" s="2"/>
      <c r="O74" s="2"/>
      <c r="P74" s="2"/>
      <c r="Q74" s="2"/>
      <c r="R74" s="30">
        <f t="shared" si="19"/>
        <v>0</v>
      </c>
      <c r="S74" s="2"/>
      <c r="T74" t="s">
        <v>602</v>
      </c>
      <c r="U74" s="109">
        <v>1</v>
      </c>
    </row>
    <row r="75" spans="1:21" x14ac:dyDescent="0.2">
      <c r="A75" s="368"/>
      <c r="B75" s="5"/>
      <c r="C75" s="5"/>
      <c r="D75" s="39"/>
      <c r="E75" s="107"/>
      <c r="F75" s="2"/>
      <c r="G75" s="74"/>
      <c r="H75" s="2"/>
      <c r="I75" s="2"/>
      <c r="J75" s="108">
        <f t="shared" si="16"/>
        <v>0</v>
      </c>
      <c r="K75" s="30">
        <f t="shared" si="17"/>
        <v>0</v>
      </c>
      <c r="L75" s="34"/>
      <c r="M75" s="114">
        <f t="shared" si="18"/>
        <v>0</v>
      </c>
      <c r="N75" s="2"/>
      <c r="O75" s="2"/>
      <c r="P75" s="2"/>
      <c r="Q75" s="2"/>
      <c r="R75" s="30">
        <f t="shared" si="19"/>
        <v>0</v>
      </c>
      <c r="S75" s="2"/>
      <c r="T75" t="s">
        <v>602</v>
      </c>
      <c r="U75" s="109">
        <v>1</v>
      </c>
    </row>
    <row r="76" spans="1:21" x14ac:dyDescent="0.2">
      <c r="A76" s="368"/>
      <c r="B76" s="5"/>
      <c r="C76" s="5"/>
      <c r="D76" s="39"/>
      <c r="E76" s="2"/>
      <c r="F76" s="2"/>
      <c r="G76" s="5"/>
      <c r="H76" s="2"/>
      <c r="I76" s="2"/>
      <c r="J76" s="108">
        <f t="shared" si="16"/>
        <v>0</v>
      </c>
      <c r="K76" s="30">
        <f t="shared" si="17"/>
        <v>0</v>
      </c>
      <c r="L76" s="34"/>
      <c r="M76" s="114">
        <f t="shared" si="18"/>
        <v>0</v>
      </c>
      <c r="N76" s="2"/>
      <c r="O76" s="2"/>
      <c r="P76" s="2"/>
      <c r="Q76" s="2"/>
      <c r="R76" s="30">
        <f t="shared" si="19"/>
        <v>0</v>
      </c>
      <c r="S76" s="2"/>
      <c r="T76" t="s">
        <v>602</v>
      </c>
      <c r="U76" s="109">
        <v>1</v>
      </c>
    </row>
    <row r="77" spans="1:21" ht="13.5" thickBot="1" x14ac:dyDescent="0.25">
      <c r="A77" s="368"/>
      <c r="B77" s="223"/>
      <c r="C77" s="223"/>
      <c r="D77" s="143"/>
      <c r="E77" s="139"/>
      <c r="F77" s="139"/>
      <c r="G77" s="223"/>
      <c r="H77" s="2"/>
      <c r="I77" s="2"/>
      <c r="J77" s="108">
        <f t="shared" si="16"/>
        <v>0</v>
      </c>
      <c r="K77" s="30">
        <f t="shared" si="17"/>
        <v>0</v>
      </c>
      <c r="L77" s="34"/>
      <c r="M77" s="114">
        <f t="shared" si="18"/>
        <v>0</v>
      </c>
      <c r="N77" s="2"/>
      <c r="O77" s="2"/>
      <c r="P77" s="2"/>
      <c r="Q77" s="2"/>
      <c r="R77" s="30">
        <f t="shared" si="19"/>
        <v>0</v>
      </c>
      <c r="S77" s="2"/>
      <c r="T77" t="s">
        <v>602</v>
      </c>
      <c r="U77" s="109">
        <v>1</v>
      </c>
    </row>
    <row r="78" spans="1:21" x14ac:dyDescent="0.2">
      <c r="A78" s="213"/>
      <c r="B78" s="18"/>
      <c r="C78" s="18"/>
      <c r="D78" s="18"/>
      <c r="E78" s="145"/>
      <c r="F78" s="145"/>
      <c r="G78" s="18"/>
      <c r="H78" s="2"/>
      <c r="I78" s="2"/>
      <c r="J78" s="108">
        <f t="shared" si="16"/>
        <v>0</v>
      </c>
      <c r="K78" s="30">
        <f t="shared" si="17"/>
        <v>0</v>
      </c>
      <c r="L78" s="34"/>
      <c r="M78" s="114">
        <f t="shared" si="18"/>
        <v>0</v>
      </c>
      <c r="N78" s="2"/>
      <c r="O78" s="2"/>
      <c r="P78" s="2"/>
      <c r="Q78" s="2"/>
      <c r="R78" s="30">
        <f t="shared" si="19"/>
        <v>0</v>
      </c>
      <c r="S78" s="2"/>
      <c r="T78" t="s">
        <v>602</v>
      </c>
      <c r="U78" s="109">
        <v>1</v>
      </c>
    </row>
    <row r="79" spans="1:21" x14ac:dyDescent="0.2">
      <c r="A79" s="368"/>
      <c r="B79" s="365" t="s">
        <v>704</v>
      </c>
      <c r="C79" s="366"/>
      <c r="D79" s="366"/>
      <c r="E79" s="366"/>
      <c r="F79" s="366"/>
      <c r="G79" s="367"/>
      <c r="H79" s="2"/>
      <c r="I79" s="2"/>
      <c r="J79" s="108">
        <f t="shared" si="16"/>
        <v>0</v>
      </c>
      <c r="K79" s="30">
        <f t="shared" si="17"/>
        <v>0</v>
      </c>
      <c r="L79" s="34"/>
      <c r="M79" s="114">
        <f t="shared" si="18"/>
        <v>0</v>
      </c>
      <c r="N79" s="2"/>
      <c r="O79" s="2"/>
      <c r="P79" s="2"/>
      <c r="Q79" s="2"/>
      <c r="R79" s="30">
        <f t="shared" si="19"/>
        <v>0</v>
      </c>
      <c r="S79" s="2"/>
      <c r="T79" t="s">
        <v>602</v>
      </c>
      <c r="U79" s="109">
        <v>1</v>
      </c>
    </row>
    <row r="80" spans="1:21" ht="13.5" thickBot="1" x14ac:dyDescent="0.25">
      <c r="A80" s="364"/>
      <c r="B80" s="156"/>
      <c r="C80" s="156"/>
      <c r="D80" s="156"/>
      <c r="E80" s="151"/>
      <c r="F80" s="151"/>
      <c r="G80" s="156"/>
      <c r="H80" s="2"/>
      <c r="I80" s="2"/>
      <c r="J80" s="108">
        <f t="shared" si="16"/>
        <v>0</v>
      </c>
      <c r="K80" s="30">
        <f t="shared" si="17"/>
        <v>0</v>
      </c>
      <c r="L80" s="34"/>
      <c r="M80" s="114">
        <f t="shared" si="18"/>
        <v>0</v>
      </c>
      <c r="N80" s="2"/>
      <c r="O80" s="2"/>
      <c r="P80" s="2"/>
      <c r="Q80" s="2"/>
      <c r="R80" s="30">
        <f t="shared" si="19"/>
        <v>0</v>
      </c>
      <c r="S80" s="2"/>
      <c r="T80" t="s">
        <v>602</v>
      </c>
      <c r="U80" s="109">
        <v>1</v>
      </c>
    </row>
    <row r="81" spans="1:22" x14ac:dyDescent="0.2">
      <c r="A81" s="368"/>
      <c r="B81" s="224"/>
      <c r="C81" s="224"/>
      <c r="D81" s="224"/>
      <c r="E81" s="148"/>
      <c r="F81" s="148"/>
      <c r="G81" s="224"/>
      <c r="H81" s="2"/>
      <c r="I81" s="2"/>
      <c r="J81" s="108">
        <f t="shared" si="16"/>
        <v>0</v>
      </c>
      <c r="K81" s="30">
        <f t="shared" si="17"/>
        <v>0</v>
      </c>
      <c r="L81" s="34"/>
      <c r="M81" s="114">
        <f t="shared" si="18"/>
        <v>0</v>
      </c>
      <c r="N81" s="2"/>
      <c r="O81" s="2"/>
      <c r="P81" s="2"/>
      <c r="Q81" s="2"/>
      <c r="R81" s="30">
        <f t="shared" si="19"/>
        <v>0</v>
      </c>
      <c r="S81" s="2"/>
      <c r="T81" t="s">
        <v>602</v>
      </c>
      <c r="U81" s="109">
        <v>1</v>
      </c>
    </row>
    <row r="82" spans="1:22" x14ac:dyDescent="0.2">
      <c r="A82" s="368"/>
      <c r="B82" s="5"/>
      <c r="C82" s="5"/>
      <c r="D82" s="39"/>
      <c r="E82" s="107"/>
      <c r="F82" s="2"/>
      <c r="G82" s="74"/>
      <c r="H82" s="2"/>
      <c r="I82" s="2"/>
      <c r="J82" s="108">
        <f t="shared" si="16"/>
        <v>0</v>
      </c>
      <c r="K82" s="30">
        <f t="shared" si="17"/>
        <v>0</v>
      </c>
      <c r="L82" s="34"/>
      <c r="M82" s="114">
        <f t="shared" si="18"/>
        <v>0</v>
      </c>
      <c r="N82" s="2"/>
      <c r="O82" s="2"/>
      <c r="P82" s="2"/>
      <c r="Q82" s="2"/>
      <c r="R82" s="30">
        <f t="shared" si="19"/>
        <v>0</v>
      </c>
      <c r="S82" s="2"/>
      <c r="T82" t="s">
        <v>602</v>
      </c>
      <c r="U82" s="109">
        <v>1</v>
      </c>
    </row>
    <row r="83" spans="1:22" x14ac:dyDescent="0.2">
      <c r="A83" s="368"/>
      <c r="B83" s="5"/>
      <c r="C83" s="5"/>
      <c r="D83" s="39"/>
      <c r="E83" s="107"/>
      <c r="F83" s="2"/>
      <c r="G83" s="74"/>
      <c r="H83" s="2"/>
      <c r="I83" s="2"/>
      <c r="J83" s="108">
        <f t="shared" si="16"/>
        <v>0</v>
      </c>
      <c r="K83" s="30">
        <f t="shared" si="17"/>
        <v>0</v>
      </c>
      <c r="L83" s="34"/>
      <c r="M83" s="114">
        <f t="shared" si="18"/>
        <v>0</v>
      </c>
      <c r="N83" s="2"/>
      <c r="O83" s="2"/>
      <c r="P83" s="2"/>
      <c r="Q83" s="2"/>
      <c r="R83" s="30">
        <f t="shared" si="19"/>
        <v>0</v>
      </c>
      <c r="S83" s="2"/>
      <c r="T83" t="s">
        <v>602</v>
      </c>
      <c r="U83" s="109">
        <v>1</v>
      </c>
    </row>
    <row r="84" spans="1:22" x14ac:dyDescent="0.2">
      <c r="A84" s="368"/>
      <c r="B84" s="5"/>
      <c r="C84" s="5"/>
      <c r="D84" s="39"/>
      <c r="E84" s="107"/>
      <c r="F84" s="2"/>
      <c r="G84" s="74"/>
      <c r="H84" s="2"/>
      <c r="I84" s="2"/>
      <c r="J84" s="108">
        <f t="shared" si="16"/>
        <v>0</v>
      </c>
      <c r="K84" s="30">
        <f t="shared" si="17"/>
        <v>0</v>
      </c>
      <c r="L84" s="34"/>
      <c r="M84" s="114">
        <f t="shared" si="18"/>
        <v>0</v>
      </c>
      <c r="N84" s="2"/>
      <c r="O84" s="2"/>
      <c r="P84" s="2"/>
      <c r="Q84" s="2"/>
      <c r="R84" s="30">
        <f t="shared" si="19"/>
        <v>0</v>
      </c>
      <c r="S84" s="2"/>
      <c r="T84" t="s">
        <v>602</v>
      </c>
      <c r="U84" s="109">
        <v>1</v>
      </c>
    </row>
    <row r="85" spans="1:22" ht="13.5" thickBot="1" x14ac:dyDescent="0.25">
      <c r="A85" s="210"/>
      <c r="B85" s="226"/>
      <c r="C85" s="226"/>
      <c r="D85" s="226"/>
      <c r="E85" s="139"/>
      <c r="F85" s="139"/>
      <c r="G85" s="226"/>
      <c r="H85" s="2"/>
      <c r="I85" s="2"/>
      <c r="J85" s="108">
        <f t="shared" si="16"/>
        <v>0</v>
      </c>
      <c r="K85" s="30">
        <f t="shared" si="17"/>
        <v>0</v>
      </c>
      <c r="L85" s="34"/>
      <c r="M85" s="114">
        <f t="shared" si="18"/>
        <v>0</v>
      </c>
      <c r="N85" s="2"/>
      <c r="O85" s="2"/>
      <c r="P85" s="2"/>
      <c r="Q85" s="2"/>
      <c r="R85" s="30">
        <f t="shared" si="19"/>
        <v>0</v>
      </c>
      <c r="S85" s="2"/>
      <c r="T85" t="s">
        <v>602</v>
      </c>
      <c r="U85" s="109">
        <v>1</v>
      </c>
    </row>
    <row r="86" spans="1:22" x14ac:dyDescent="0.2">
      <c r="A86" s="120"/>
      <c r="B86" s="18"/>
      <c r="C86" s="18"/>
      <c r="D86" s="18"/>
      <c r="E86" s="145"/>
      <c r="F86" s="145"/>
      <c r="G86" s="18"/>
      <c r="H86" s="2"/>
      <c r="I86" s="2"/>
      <c r="J86" s="108">
        <f t="shared" si="16"/>
        <v>0</v>
      </c>
      <c r="K86" s="30">
        <f t="shared" si="17"/>
        <v>0</v>
      </c>
      <c r="L86" s="34"/>
      <c r="M86" s="114">
        <f t="shared" si="18"/>
        <v>0</v>
      </c>
      <c r="N86" s="2"/>
      <c r="O86" s="2"/>
      <c r="P86" s="2"/>
      <c r="Q86" s="2"/>
      <c r="R86" s="30">
        <f t="shared" si="19"/>
        <v>0</v>
      </c>
      <c r="S86" s="2"/>
      <c r="T86" t="s">
        <v>602</v>
      </c>
      <c r="U86" s="109">
        <v>1</v>
      </c>
    </row>
    <row r="87" spans="1:22" x14ac:dyDescent="0.2">
      <c r="A87" s="210"/>
      <c r="B87" s="365" t="s">
        <v>705</v>
      </c>
      <c r="C87" s="366"/>
      <c r="D87" s="366"/>
      <c r="E87" s="366"/>
      <c r="F87" s="366"/>
      <c r="G87" s="367"/>
      <c r="H87" s="2"/>
      <c r="I87" s="2"/>
      <c r="J87" s="108">
        <f t="shared" si="16"/>
        <v>0</v>
      </c>
      <c r="K87" s="30">
        <f t="shared" si="17"/>
        <v>0</v>
      </c>
      <c r="L87" s="34"/>
      <c r="M87" s="114">
        <f t="shared" si="18"/>
        <v>0</v>
      </c>
      <c r="N87" s="2"/>
      <c r="O87" s="2"/>
      <c r="P87" s="2"/>
      <c r="Q87" s="2"/>
      <c r="R87" s="30">
        <f t="shared" si="19"/>
        <v>0</v>
      </c>
      <c r="S87" s="2"/>
      <c r="T87" t="s">
        <v>602</v>
      </c>
      <c r="U87" s="109">
        <v>1</v>
      </c>
    </row>
    <row r="88" spans="1:22" x14ac:dyDescent="0.2">
      <c r="J88" s="172">
        <f>SUM(J29:J87)</f>
        <v>1605.1200000000001</v>
      </c>
      <c r="K88" s="172">
        <f>SUM(K29:K87)</f>
        <v>2006.3999999999999</v>
      </c>
      <c r="L88" s="35"/>
      <c r="R88" s="35">
        <f>SUM(R29:R87)</f>
        <v>401.28000000000003</v>
      </c>
    </row>
    <row r="90" spans="1:22" x14ac:dyDescent="0.2">
      <c r="T90" s="5" t="s">
        <v>605</v>
      </c>
      <c r="U90" s="35"/>
      <c r="V90" s="35"/>
    </row>
    <row r="91" spans="1:22" x14ac:dyDescent="0.2">
      <c r="U91" s="35"/>
      <c r="V91" s="35"/>
    </row>
  </sheetData>
  <mergeCells count="43">
    <mergeCell ref="B79:G79"/>
    <mergeCell ref="B71:G71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K21:K27"/>
    <mergeCell ref="N21:O22"/>
    <mergeCell ref="N19:S20"/>
    <mergeCell ref="C21:C27"/>
    <mergeCell ref="D21:D27"/>
    <mergeCell ref="E21:F27"/>
    <mergeCell ref="G21:G27"/>
    <mergeCell ref="H21:J25"/>
    <mergeCell ref="P21:Q22"/>
    <mergeCell ref="R21:S22"/>
    <mergeCell ref="N23:N27"/>
    <mergeCell ref="O23:O27"/>
    <mergeCell ref="P23:P27"/>
    <mergeCell ref="B87:G87"/>
    <mergeCell ref="B57:G57"/>
    <mergeCell ref="B63:G63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1048573"/>
  <sheetViews>
    <sheetView showZeros="0" topLeftCell="A190" zoomScale="85" zoomScaleNormal="85" workbookViewId="0">
      <selection activeCell="C101" sqref="C101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72" t="str">
        <f>NASLOV!B5</f>
        <v>Markus Renz</v>
      </c>
      <c r="B1" s="272"/>
      <c r="C1" s="272"/>
      <c r="D1" s="272"/>
      <c r="E1" s="272"/>
      <c r="F1" s="272"/>
    </row>
    <row r="2" spans="1:18" x14ac:dyDescent="0.2">
      <c r="A2" s="272"/>
      <c r="B2" s="272"/>
      <c r="C2" s="272"/>
      <c r="D2" s="272"/>
      <c r="E2" s="272"/>
      <c r="F2" s="272"/>
    </row>
    <row r="3" spans="1:18" x14ac:dyDescent="0.2">
      <c r="C3" s="237" t="str">
        <f>INDEX(PRIJEVODI!B:D,MATCH("URA-001",PRIJEVODI!A:A,0),MATCH(NASLOV!$B$2,PRIJEVODI!$B$1:$D$1,0))</f>
        <v>STEUERPFLICHTIGER: NAME / NACHNAME</v>
      </c>
      <c r="D3" s="237"/>
      <c r="E3" s="237"/>
      <c r="F3" s="237"/>
      <c r="Q3" s="239"/>
      <c r="R3" s="239"/>
    </row>
    <row r="4" spans="1:18" x14ac:dyDescent="0.2">
      <c r="C4" s="271" t="str">
        <f>NASLOV!B7</f>
        <v>Am Sonnblick 6, Lichtenau</v>
      </c>
      <c r="D4" s="271"/>
      <c r="E4" s="271"/>
      <c r="F4" s="271"/>
    </row>
    <row r="5" spans="1:18" x14ac:dyDescent="0.2">
      <c r="C5" s="271"/>
      <c r="D5" s="271"/>
      <c r="E5" s="271"/>
      <c r="F5" s="271"/>
    </row>
    <row r="6" spans="1:18" x14ac:dyDescent="0.2">
      <c r="C6" s="237" t="str">
        <f>INDEX(PRIJEVODI!B:D,MATCH("URA-002",PRIJEVODI!A:A,0),MATCH(NASLOV!$B$2,PRIJEVODI!$B$1:$D$1,0))</f>
        <v>ADRESSE: ORT, STRASSE UND HAUSNUMMER</v>
      </c>
      <c r="D6" s="237"/>
      <c r="E6" s="237"/>
      <c r="F6" s="237"/>
    </row>
    <row r="7" spans="1:18" x14ac:dyDescent="0.2">
      <c r="C7" s="273"/>
      <c r="D7" s="273"/>
      <c r="E7" s="273"/>
      <c r="F7" s="273"/>
    </row>
    <row r="8" spans="1:18" x14ac:dyDescent="0.2">
      <c r="C8" s="273"/>
      <c r="D8" s="273"/>
      <c r="E8" s="273"/>
      <c r="F8" s="273"/>
    </row>
    <row r="9" spans="1:18" x14ac:dyDescent="0.2">
      <c r="C9" s="237" t="str">
        <f>INDEX(PRIJEVODI!B:D,MATCH("URA-003",PRIJEVODI!A:A,0),MATCH(NASLOV!$B$2,PRIJEVODI!$B$1:$D$1,0))</f>
        <v xml:space="preserve">NUMMERIERUNG GEMÄSS DEM NATIONALEN KLASSIFIZIERUNGSSYSTEM  </v>
      </c>
      <c r="D9" s="237"/>
      <c r="E9" s="237"/>
      <c r="F9" s="237"/>
    </row>
    <row r="10" spans="1:18" x14ac:dyDescent="0.2">
      <c r="C10" s="237"/>
      <c r="D10" s="237"/>
      <c r="E10" s="237"/>
      <c r="F10" s="237"/>
    </row>
    <row r="11" spans="1:18" x14ac:dyDescent="0.2">
      <c r="C11" s="271" t="str">
        <f>NASLOV!B9</f>
        <v>HR6411581446</v>
      </c>
      <c r="D11" s="271"/>
      <c r="E11" s="271"/>
      <c r="F11" s="271"/>
    </row>
    <row r="12" spans="1:18" x14ac:dyDescent="0.2">
      <c r="C12" s="271"/>
      <c r="D12" s="271"/>
      <c r="E12" s="271"/>
      <c r="F12" s="271"/>
    </row>
    <row r="13" spans="1:18" x14ac:dyDescent="0.2">
      <c r="C13" s="237" t="str">
        <f>INDEX(PRIJEVODI!B:D,MATCH("URA-004",PRIJEVODI!A:A,0),MATCH(NASLOV!$B$2,PRIJEVODI!$B$1:$D$1,0))</f>
        <v>STEUERNUMMER (UID)</v>
      </c>
      <c r="D13" s="237"/>
      <c r="E13" s="237"/>
      <c r="F13" s="237"/>
    </row>
    <row r="15" spans="1:18" x14ac:dyDescent="0.2">
      <c r="G15" s="238" t="str">
        <f>INDEX(PRIJEVODI!B:D,MATCH("URA-005",PRIJEVODI!A:A,0),MATCH(NASLOV!$B$2,PRIJEVODI!$B$1:$D$1,0))</f>
        <v>EINGANGSRECHNUNGBUCH</v>
      </c>
      <c r="H15" s="239"/>
      <c r="I15" s="239"/>
      <c r="J15" s="239"/>
      <c r="K15" s="239"/>
      <c r="L15" s="274" t="s">
        <v>580</v>
      </c>
    </row>
    <row r="16" spans="1:18" x14ac:dyDescent="0.2">
      <c r="G16" s="239"/>
      <c r="H16" s="239"/>
      <c r="I16" s="239"/>
      <c r="J16" s="239"/>
      <c r="K16" s="239"/>
      <c r="L16" s="274"/>
      <c r="O16" s="239" t="str">
        <f>INDEX(PRIJEVODI!B:D,MATCH("URA-006",PRIJEVODI!A:A,0),MATCH(NASLOV!$B$2,PRIJEVODI!$B$1:$D$1,0))</f>
        <v>BETRAG IN KUNA UND LIPA</v>
      </c>
      <c r="P16" s="239"/>
      <c r="Q16" s="239"/>
      <c r="R16" s="239"/>
    </row>
    <row r="19" spans="1:20" ht="12.75" customHeight="1" x14ac:dyDescent="0.2">
      <c r="B19" s="246" t="str">
        <f>INDEX(PRIJEVODI!B:D,MATCH("URA-007",PRIJEVODI!A:A,0),MATCH(NASLOV!$B$2,PRIJEVODI!$B$1:$D$1,0))</f>
        <v xml:space="preserve">ORDNUNGSNUMMER </v>
      </c>
      <c r="C19" s="249" t="str">
        <f>INDEX(PRIJEVODI!B:D,MATCH("URA-008",PRIJEVODI!A:A,0),MATCH(NASLOV!$B$2,PRIJEVODI!$B$1:$D$1,0))</f>
        <v>RECHNUNG</v>
      </c>
      <c r="D19" s="250"/>
      <c r="E19" s="293" t="str">
        <f>INDEX(PRIJEVODI!B:D,MATCH("URA-011",PRIJEVODI!A:A,0),MATCH(NASLOV!$B$2,PRIJEVODI!$B$1:$D$1,0))</f>
        <v>LIEFERANT (ANBIETER VON WAREN UND DIENSTLEISTUNGEN)</v>
      </c>
      <c r="F19" s="294"/>
      <c r="G19" s="294"/>
      <c r="H19" s="294"/>
      <c r="I19" s="294"/>
      <c r="J19" s="294"/>
      <c r="K19" s="294"/>
      <c r="L19" s="294"/>
      <c r="M19" s="291"/>
      <c r="N19" s="249" t="str">
        <f>INDEX(PRIJEVODI!B:D,MATCH("URA-020",PRIJEVODI!A:A,0),MATCH(NASLOV!$B$2,PRIJEVODI!$B$1:$D$1,0))</f>
        <v>STEUER</v>
      </c>
      <c r="O19" s="279"/>
      <c r="P19" s="279"/>
      <c r="Q19" s="279"/>
      <c r="R19" s="279"/>
      <c r="S19" s="285"/>
    </row>
    <row r="20" spans="1:20" x14ac:dyDescent="0.2">
      <c r="B20" s="247"/>
      <c r="C20" s="251"/>
      <c r="D20" s="252"/>
      <c r="E20" s="277"/>
      <c r="F20" s="295"/>
      <c r="G20" s="295"/>
      <c r="H20" s="295"/>
      <c r="I20" s="295"/>
      <c r="J20" s="295"/>
      <c r="K20" s="295"/>
      <c r="L20" s="295"/>
      <c r="M20" s="296"/>
      <c r="N20" s="281"/>
      <c r="O20" s="282"/>
      <c r="P20" s="282"/>
      <c r="Q20" s="282"/>
      <c r="R20" s="282"/>
      <c r="S20" s="283"/>
    </row>
    <row r="21" spans="1:20" ht="12.75" customHeight="1" x14ac:dyDescent="0.2">
      <c r="B21" s="247"/>
      <c r="C21" s="259" t="str">
        <f>INDEX(PRIJEVODI!B:D,MATCH("URA-009",PRIJEVODI!A:A,0),MATCH(NASLOV!$B$2,PRIJEVODI!$B$1:$D$1,0))</f>
        <v xml:space="preserve">NUMMER </v>
      </c>
      <c r="D21" s="259" t="str">
        <f>INDEX(PRIJEVODI!B:D,MATCH("URA-010",PRIJEVODI!A:A,0),MATCH(NASLOV!$B$2,PRIJEVODI!$B$1:$D$1,0))</f>
        <v>DATUM</v>
      </c>
      <c r="E21" s="262" t="str">
        <f>INDEX(PRIJEVODI!B:D,MATCH("URA-012",PRIJEVODI!A:A,0),MATCH(NASLOV!$B$2,PRIJEVODI!$B$1:$D$1,0))</f>
        <v>TITEL - NAME UND NACHNAME, GESCHÄFTSSITZ / SITZORT</v>
      </c>
      <c r="F21" s="263"/>
      <c r="G21" s="268" t="str">
        <f>INDEX(PRIJEVODI!B:D,MATCH("URA-013",PRIJEVODI!A:A,0),MATCH(NASLOV!$B$2,PRIJEVODI!$B$1:$D$1,0))</f>
        <v>STEUERNUMMER (UID)</v>
      </c>
      <c r="H21" s="275" t="str">
        <f>INDEX(PRIJEVODI!B:D,MATCH("URA-014",PRIJEVODI!A:A,0),MATCH(NASLOV!$B$2,PRIJEVODI!$B$1:$D$1,0))</f>
        <v>LIEFERWERT</v>
      </c>
      <c r="I21" s="294"/>
      <c r="J21" s="291"/>
      <c r="K21" s="268" t="str">
        <f>INDEX(PRIJEVODI!B:D,MATCH("URA-018",PRIJEVODI!A:A,0),MATCH(NASLOV!$B$2,PRIJEVODI!$B$1:$D$1,0))</f>
        <v>GESAMTBETRAG DER RECHNUNG INKLUSIVE MwST.</v>
      </c>
      <c r="L21" s="45"/>
      <c r="M21" s="259" t="str">
        <f>INDEX(PRIJEVODI!B:D,MATCH("URA-030",PRIJEVODI!A:A,0),MATCH(NASLOV!$B$2,PRIJEVODI!$B$1:$D$1,0))</f>
        <v>TOTAL</v>
      </c>
      <c r="N21" s="284">
        <v>0.05</v>
      </c>
      <c r="O21" s="285"/>
      <c r="P21" s="284">
        <v>0.13</v>
      </c>
      <c r="Q21" s="285"/>
      <c r="R21" s="284">
        <v>0.25</v>
      </c>
      <c r="S21" s="285"/>
    </row>
    <row r="22" spans="1:20" x14ac:dyDescent="0.2">
      <c r="B22" s="247"/>
      <c r="C22" s="260"/>
      <c r="D22" s="260"/>
      <c r="E22" s="264"/>
      <c r="F22" s="265"/>
      <c r="G22" s="269"/>
      <c r="H22" s="276"/>
      <c r="I22" s="297"/>
      <c r="J22" s="298"/>
      <c r="K22" s="269"/>
      <c r="L22" s="46"/>
      <c r="M22" s="260"/>
      <c r="N22" s="281"/>
      <c r="O22" s="283"/>
      <c r="P22" s="281"/>
      <c r="Q22" s="283"/>
      <c r="R22" s="281"/>
      <c r="S22" s="283"/>
    </row>
    <row r="23" spans="1:20" x14ac:dyDescent="0.2">
      <c r="B23" s="247"/>
      <c r="C23" s="260"/>
      <c r="D23" s="260"/>
      <c r="E23" s="264"/>
      <c r="F23" s="265"/>
      <c r="G23" s="269"/>
      <c r="H23" s="276"/>
      <c r="I23" s="297"/>
      <c r="J23" s="298"/>
      <c r="K23" s="269"/>
      <c r="L23" s="46"/>
      <c r="M23" s="260"/>
      <c r="N23" s="268" t="str">
        <f>INDEX(PRIJEVODI!B:D,MATCH("URA-022",PRIJEVODI!A:A,0),MATCH(NASLOV!$B$2,PRIJEVODI!$B$1:$D$1,0))</f>
        <v>ABZUGSFÄHIG</v>
      </c>
      <c r="O23" s="268" t="str">
        <f>INDEX(PRIJEVODI!B:D,MATCH("URA-023",PRIJEVODI!A:A,0),MATCH(NASLOV!$B$2,PRIJEVODI!$B$1:$D$1,0))</f>
        <v>NICHT ABZUGSFÄHIG</v>
      </c>
      <c r="P23" s="268" t="str">
        <f>INDEX(PRIJEVODI!B:D,MATCH("URA-025",PRIJEVODI!A:A,0),MATCH(NASLOV!$B$2,PRIJEVODI!$B$1:$D$1,0))</f>
        <v>ABZUGSFÄHIG</v>
      </c>
      <c r="Q23" s="268" t="str">
        <f>INDEX(PRIJEVODI!B:D,MATCH("URA-026",PRIJEVODI!A:A,0),MATCH(NASLOV!$B$2,PRIJEVODI!$B$1:$D$1,0))</f>
        <v>NICHT ABZUGSFÄHIG</v>
      </c>
      <c r="R23" s="268" t="str">
        <f>INDEX(PRIJEVODI!B:D,MATCH("URA-028",PRIJEVODI!A:A,0),MATCH(NASLOV!$B$2,PRIJEVODI!$B$1:$D$1,0))</f>
        <v>ABZUGSFÄHIG</v>
      </c>
      <c r="S23" s="268" t="str">
        <f>INDEX(PRIJEVODI!B:D,MATCH("URA-029",PRIJEVODI!A:A,0),MATCH(NASLOV!$B$2,PRIJEVODI!$B$1:$D$1,0))</f>
        <v>NICHT ABZUGSFÄHIG</v>
      </c>
    </row>
    <row r="24" spans="1:20" x14ac:dyDescent="0.2">
      <c r="B24" s="247"/>
      <c r="C24" s="260"/>
      <c r="D24" s="260"/>
      <c r="E24" s="264"/>
      <c r="F24" s="265"/>
      <c r="G24" s="269"/>
      <c r="H24" s="276"/>
      <c r="I24" s="297"/>
      <c r="J24" s="298"/>
      <c r="K24" s="269"/>
      <c r="L24" s="48" t="str">
        <f>INDEX(PRIJEVODI!B:D,MATCH("URA-019",PRIJEVODI!A:A,0),MATCH(NASLOV!$B$2,PRIJEVODI!$B$1:$D$1,0))</f>
        <v>STEUERBEFREIUNGEN / ABZUGSFÄHIG</v>
      </c>
      <c r="M24" s="260"/>
      <c r="N24" s="269"/>
      <c r="O24" s="269"/>
      <c r="P24" s="269"/>
      <c r="Q24" s="269"/>
      <c r="R24" s="269"/>
      <c r="S24" s="269"/>
    </row>
    <row r="25" spans="1:20" x14ac:dyDescent="0.2">
      <c r="B25" s="247"/>
      <c r="C25" s="260"/>
      <c r="D25" s="260"/>
      <c r="E25" s="264"/>
      <c r="F25" s="265"/>
      <c r="G25" s="269"/>
      <c r="H25" s="277"/>
      <c r="I25" s="295"/>
      <c r="J25" s="296"/>
      <c r="K25" s="269"/>
      <c r="L25" s="46"/>
      <c r="M25" s="260"/>
      <c r="N25" s="269"/>
      <c r="O25" s="269"/>
      <c r="P25" s="269"/>
      <c r="Q25" s="269"/>
      <c r="R25" s="269"/>
      <c r="S25" s="269"/>
    </row>
    <row r="26" spans="1:20" x14ac:dyDescent="0.2">
      <c r="B26" s="247"/>
      <c r="C26" s="260"/>
      <c r="D26" s="260"/>
      <c r="E26" s="264"/>
      <c r="F26" s="265"/>
      <c r="G26" s="269"/>
      <c r="H26" s="292">
        <v>0.05</v>
      </c>
      <c r="I26" s="292">
        <v>0.13</v>
      </c>
      <c r="J26" s="292">
        <v>0.25</v>
      </c>
      <c r="K26" s="269"/>
      <c r="L26" s="46"/>
      <c r="M26" s="260"/>
      <c r="N26" s="269"/>
      <c r="O26" s="269"/>
      <c r="P26" s="269"/>
      <c r="Q26" s="269"/>
      <c r="R26" s="269"/>
      <c r="S26" s="269"/>
    </row>
    <row r="27" spans="1:20" x14ac:dyDescent="0.2">
      <c r="B27" s="248"/>
      <c r="C27" s="261"/>
      <c r="D27" s="261"/>
      <c r="E27" s="266"/>
      <c r="F27" s="267"/>
      <c r="G27" s="270"/>
      <c r="H27" s="261"/>
      <c r="I27" s="261"/>
      <c r="J27" s="261"/>
      <c r="K27" s="270"/>
      <c r="L27" s="47"/>
      <c r="M27" s="261"/>
      <c r="N27" s="270"/>
      <c r="O27" s="270"/>
      <c r="P27" s="270"/>
      <c r="Q27" s="270"/>
      <c r="R27" s="270"/>
      <c r="S27" s="270"/>
    </row>
    <row r="28" spans="1:20" ht="13.5" thickBot="1" x14ac:dyDescent="0.25">
      <c r="A28" s="112" t="s">
        <v>590</v>
      </c>
      <c r="B28" s="33">
        <v>1</v>
      </c>
      <c r="C28" s="33">
        <v>2</v>
      </c>
      <c r="D28" s="33">
        <v>3</v>
      </c>
      <c r="E28" s="275">
        <v>4</v>
      </c>
      <c r="F28" s="291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3" t="s">
        <v>0</v>
      </c>
      <c r="N28" s="362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1:20" x14ac:dyDescent="0.2">
      <c r="A29" s="120"/>
      <c r="B29" s="136"/>
      <c r="C29" s="137"/>
      <c r="D29" s="357"/>
      <c r="E29" s="145"/>
      <c r="F29" s="146"/>
      <c r="G29" s="147"/>
      <c r="H29" s="121"/>
      <c r="I29" s="121"/>
      <c r="J29" s="122"/>
      <c r="K29" s="123">
        <f t="shared" ref="K29:K51" si="0">H29+I29+J29+M29</f>
        <v>0</v>
      </c>
      <c r="L29" s="124"/>
      <c r="M29" s="124">
        <f>SUM(N29:S29)</f>
        <v>0</v>
      </c>
      <c r="N29" s="361">
        <f t="shared" ref="N29:N92" si="1">H29*0.05</f>
        <v>0</v>
      </c>
      <c r="O29" s="125"/>
      <c r="P29" s="124">
        <f>+I29*0.13</f>
        <v>0</v>
      </c>
      <c r="Q29" s="125"/>
      <c r="R29" s="124">
        <f t="shared" ref="R29:R34" si="2">J29*0.25</f>
        <v>0</v>
      </c>
      <c r="S29" s="125"/>
      <c r="T29" s="101"/>
    </row>
    <row r="30" spans="1:20" x14ac:dyDescent="0.2">
      <c r="A30" s="360">
        <v>1</v>
      </c>
      <c r="B30" s="138">
        <v>1</v>
      </c>
      <c r="C30" s="2" t="s">
        <v>649</v>
      </c>
      <c r="D30" s="135">
        <v>45658</v>
      </c>
      <c r="E30" s="2" t="s">
        <v>632</v>
      </c>
      <c r="F30" s="2" t="s">
        <v>633</v>
      </c>
      <c r="G30" s="150">
        <v>68419124305</v>
      </c>
      <c r="H30" s="74"/>
      <c r="I30" s="74"/>
      <c r="J30" s="113">
        <v>0</v>
      </c>
      <c r="K30" s="100">
        <v>10.62</v>
      </c>
      <c r="L30" s="95"/>
      <c r="M30" s="95">
        <f t="shared" ref="M30:M51" si="3">SUM(N30:S30)</f>
        <v>0</v>
      </c>
      <c r="N30" s="64">
        <f t="shared" si="1"/>
        <v>0</v>
      </c>
      <c r="O30" s="64"/>
      <c r="P30" s="95">
        <f>+I30*0.13</f>
        <v>0</v>
      </c>
      <c r="Q30" s="64"/>
      <c r="R30" s="95">
        <f t="shared" si="2"/>
        <v>0</v>
      </c>
      <c r="S30" s="64"/>
      <c r="T30" s="101"/>
    </row>
    <row r="31" spans="1:20" x14ac:dyDescent="0.2">
      <c r="A31" s="360">
        <v>2</v>
      </c>
      <c r="B31" s="97">
        <v>2</v>
      </c>
      <c r="C31" s="107"/>
      <c r="D31" s="39"/>
      <c r="E31" s="2" t="s">
        <v>660</v>
      </c>
      <c r="F31" s="98"/>
      <c r="G31" s="99"/>
      <c r="H31" s="74"/>
      <c r="I31" s="74"/>
      <c r="J31" s="113"/>
      <c r="K31" s="100">
        <f>H31+I31+J31+M31</f>
        <v>0</v>
      </c>
      <c r="L31" s="95"/>
      <c r="M31" s="95">
        <f t="shared" si="3"/>
        <v>0</v>
      </c>
      <c r="N31" s="64">
        <f t="shared" si="1"/>
        <v>0</v>
      </c>
      <c r="O31" s="64"/>
      <c r="P31" s="95">
        <f>I31*0.13</f>
        <v>0</v>
      </c>
      <c r="Q31" s="64"/>
      <c r="R31" s="95">
        <f t="shared" si="2"/>
        <v>0</v>
      </c>
      <c r="S31" s="64"/>
      <c r="T31" s="101"/>
    </row>
    <row r="32" spans="1:20" x14ac:dyDescent="0.2">
      <c r="A32" s="360">
        <v>3</v>
      </c>
      <c r="B32" s="228">
        <v>3</v>
      </c>
      <c r="C32" s="107" t="s">
        <v>650</v>
      </c>
      <c r="D32" s="39">
        <v>45688</v>
      </c>
      <c r="E32" s="2" t="s">
        <v>589</v>
      </c>
      <c r="F32" s="2" t="s">
        <v>594</v>
      </c>
      <c r="G32" s="99">
        <v>26618043061</v>
      </c>
      <c r="H32" s="126"/>
      <c r="I32" s="126"/>
      <c r="J32" s="127">
        <v>160</v>
      </c>
      <c r="K32" s="100">
        <f t="shared" ref="K32:K35" si="4">H32+I32+J32+M32</f>
        <v>200</v>
      </c>
      <c r="L32" s="128"/>
      <c r="M32" s="128">
        <f>SUM(N32:S32)</f>
        <v>40</v>
      </c>
      <c r="N32" s="64">
        <f t="shared" si="1"/>
        <v>0</v>
      </c>
      <c r="O32" s="129"/>
      <c r="P32" s="128">
        <f>+I32*0.13</f>
        <v>0</v>
      </c>
      <c r="Q32" s="129"/>
      <c r="R32" s="128">
        <f t="shared" si="2"/>
        <v>40</v>
      </c>
      <c r="S32" s="129"/>
      <c r="T32" s="101"/>
    </row>
    <row r="33" spans="1:20" x14ac:dyDescent="0.2">
      <c r="A33" s="360">
        <v>4</v>
      </c>
      <c r="B33" s="230">
        <v>4</v>
      </c>
      <c r="C33" s="107" t="s">
        <v>651</v>
      </c>
      <c r="D33" s="39">
        <v>45688</v>
      </c>
      <c r="E33" s="2" t="s">
        <v>613</v>
      </c>
      <c r="F33" s="98" t="s">
        <v>614</v>
      </c>
      <c r="G33" s="99">
        <v>81793146560</v>
      </c>
      <c r="H33" s="74"/>
      <c r="I33" s="74"/>
      <c r="J33" s="113">
        <v>28.37</v>
      </c>
      <c r="K33" s="100">
        <f t="shared" si="4"/>
        <v>35.462499999999999</v>
      </c>
      <c r="L33" s="95"/>
      <c r="M33" s="95">
        <f>SUM(N33:S33)</f>
        <v>7.0925000000000002</v>
      </c>
      <c r="N33" s="64">
        <f t="shared" si="1"/>
        <v>0</v>
      </c>
      <c r="O33" s="64"/>
      <c r="P33" s="95">
        <f>+I33*0.13</f>
        <v>0</v>
      </c>
      <c r="Q33" s="64"/>
      <c r="R33" s="95">
        <f t="shared" si="2"/>
        <v>7.0925000000000002</v>
      </c>
      <c r="S33" s="64"/>
      <c r="T33" s="101"/>
    </row>
    <row r="34" spans="1:20" x14ac:dyDescent="0.2">
      <c r="A34" s="360">
        <v>5</v>
      </c>
      <c r="B34" s="228">
        <v>5</v>
      </c>
      <c r="C34" s="132">
        <v>2203277403</v>
      </c>
      <c r="D34" s="39">
        <v>45688</v>
      </c>
      <c r="E34" s="2" t="s">
        <v>608</v>
      </c>
      <c r="F34" s="98" t="s">
        <v>609</v>
      </c>
      <c r="G34" s="99">
        <v>43965974818</v>
      </c>
      <c r="H34" s="74"/>
      <c r="I34" s="74">
        <v>2.7</v>
      </c>
      <c r="J34" s="113"/>
      <c r="K34" s="100">
        <f t="shared" si="4"/>
        <v>3.0510000000000002</v>
      </c>
      <c r="L34" s="95"/>
      <c r="M34" s="95">
        <f t="shared" si="3"/>
        <v>0.35100000000000003</v>
      </c>
      <c r="N34" s="64">
        <f t="shared" si="1"/>
        <v>0</v>
      </c>
      <c r="O34" s="64"/>
      <c r="P34" s="95">
        <f>+I34*0.13</f>
        <v>0.35100000000000003</v>
      </c>
      <c r="Q34" s="64"/>
      <c r="R34" s="95">
        <f t="shared" si="2"/>
        <v>0</v>
      </c>
      <c r="S34" s="64"/>
      <c r="T34" s="101"/>
    </row>
    <row r="35" spans="1:20" x14ac:dyDescent="0.2">
      <c r="A35" s="360">
        <v>6</v>
      </c>
      <c r="B35" s="230">
        <v>6</v>
      </c>
      <c r="C35" s="107" t="s">
        <v>612</v>
      </c>
      <c r="D35" s="39">
        <v>45688</v>
      </c>
      <c r="E35" s="2" t="s">
        <v>608</v>
      </c>
      <c r="F35" s="98" t="s">
        <v>609</v>
      </c>
      <c r="G35" s="99">
        <v>43965974818</v>
      </c>
      <c r="H35" s="74"/>
      <c r="I35" s="74">
        <v>3.33</v>
      </c>
      <c r="J35" s="113"/>
      <c r="K35" s="100">
        <f>H35+I35+J35+M35</f>
        <v>3.7629000000000001</v>
      </c>
      <c r="L35" s="95"/>
      <c r="M35" s="95">
        <f t="shared" si="3"/>
        <v>0.43290000000000001</v>
      </c>
      <c r="N35" s="64">
        <f t="shared" si="1"/>
        <v>0</v>
      </c>
      <c r="O35" s="64"/>
      <c r="P35" s="95">
        <f>+I35*0.13</f>
        <v>0.43290000000000001</v>
      </c>
      <c r="Q35" s="64"/>
      <c r="R35" s="95">
        <f t="shared" ref="R35:R51" si="5">J35*0.25</f>
        <v>0</v>
      </c>
      <c r="S35" s="64"/>
      <c r="T35" s="101"/>
    </row>
    <row r="36" spans="1:20" x14ac:dyDescent="0.2">
      <c r="A36" s="360">
        <v>7</v>
      </c>
      <c r="B36" s="228">
        <v>7</v>
      </c>
      <c r="C36" s="107" t="s">
        <v>611</v>
      </c>
      <c r="D36" s="39">
        <v>45688</v>
      </c>
      <c r="E36" s="2" t="s">
        <v>608</v>
      </c>
      <c r="F36" s="98" t="s">
        <v>609</v>
      </c>
      <c r="G36" s="99">
        <v>43965974818</v>
      </c>
      <c r="H36" s="74"/>
      <c r="I36" s="74">
        <v>2.7</v>
      </c>
      <c r="J36" s="113"/>
      <c r="K36" s="100">
        <f t="shared" si="0"/>
        <v>3.0510000000000002</v>
      </c>
      <c r="L36" s="95"/>
      <c r="M36" s="95">
        <f t="shared" si="3"/>
        <v>0.35100000000000003</v>
      </c>
      <c r="N36" s="64">
        <f t="shared" si="1"/>
        <v>0</v>
      </c>
      <c r="O36" s="64"/>
      <c r="P36" s="95">
        <f t="shared" ref="P36:P51" si="6">+I36*0.13</f>
        <v>0.35100000000000003</v>
      </c>
      <c r="Q36" s="64"/>
      <c r="R36" s="95">
        <f t="shared" si="5"/>
        <v>0</v>
      </c>
      <c r="S36" s="64"/>
      <c r="T36" s="101"/>
    </row>
    <row r="37" spans="1:20" x14ac:dyDescent="0.2">
      <c r="A37" s="360">
        <v>8</v>
      </c>
      <c r="B37" s="230">
        <v>8</v>
      </c>
      <c r="C37" s="107" t="s">
        <v>615</v>
      </c>
      <c r="D37" s="39">
        <v>45688</v>
      </c>
      <c r="E37" s="2" t="s">
        <v>608</v>
      </c>
      <c r="F37" s="98" t="s">
        <v>609</v>
      </c>
      <c r="G37" s="99">
        <v>43965974818</v>
      </c>
      <c r="H37" s="74"/>
      <c r="I37" s="74">
        <v>3.17</v>
      </c>
      <c r="J37" s="113"/>
      <c r="K37" s="100">
        <f>H37+I37+J37+M37</f>
        <v>3.5821000000000001</v>
      </c>
      <c r="L37" s="95"/>
      <c r="M37" s="95">
        <f>SUM(N37:S37)</f>
        <v>0.41210000000000002</v>
      </c>
      <c r="N37" s="64">
        <f t="shared" si="1"/>
        <v>0</v>
      </c>
      <c r="O37" s="64"/>
      <c r="P37" s="95">
        <f>+I37*0.13</f>
        <v>0.41210000000000002</v>
      </c>
      <c r="Q37" s="64"/>
      <c r="R37" s="95">
        <f>J37*0.25</f>
        <v>0</v>
      </c>
      <c r="S37" s="64"/>
      <c r="T37" s="101"/>
    </row>
    <row r="38" spans="1:20" x14ac:dyDescent="0.2">
      <c r="A38" s="360">
        <v>10</v>
      </c>
      <c r="B38" s="228">
        <v>9</v>
      </c>
      <c r="C38" s="107" t="s">
        <v>652</v>
      </c>
      <c r="D38" s="39">
        <v>45688</v>
      </c>
      <c r="E38" s="139" t="s">
        <v>588</v>
      </c>
      <c r="F38" s="140" t="s">
        <v>595</v>
      </c>
      <c r="G38" s="141">
        <v>77465071491</v>
      </c>
      <c r="H38" s="74"/>
      <c r="I38" s="74">
        <v>15.93</v>
      </c>
      <c r="J38" s="113"/>
      <c r="K38" s="100">
        <f t="shared" si="0"/>
        <v>18.000900000000001</v>
      </c>
      <c r="L38" s="95"/>
      <c r="M38" s="95">
        <f>SUM(N38:S38)</f>
        <v>2.0709</v>
      </c>
      <c r="N38" s="64">
        <f t="shared" si="1"/>
        <v>0</v>
      </c>
      <c r="O38" s="64"/>
      <c r="P38" s="95">
        <f t="shared" si="6"/>
        <v>2.0709</v>
      </c>
      <c r="Q38" s="64"/>
      <c r="R38" s="95">
        <f t="shared" si="5"/>
        <v>0</v>
      </c>
      <c r="S38" s="64"/>
      <c r="T38" s="101"/>
    </row>
    <row r="39" spans="1:20" x14ac:dyDescent="0.2">
      <c r="A39" s="360">
        <v>11</v>
      </c>
      <c r="B39" s="97">
        <v>10</v>
      </c>
      <c r="C39" s="107" t="s">
        <v>652</v>
      </c>
      <c r="D39" s="39">
        <v>45688</v>
      </c>
      <c r="E39" s="2" t="s">
        <v>587</v>
      </c>
      <c r="F39" s="98" t="s">
        <v>607</v>
      </c>
      <c r="G39" s="99">
        <v>51260824290</v>
      </c>
      <c r="H39" s="74"/>
      <c r="I39" s="74">
        <v>3.32</v>
      </c>
      <c r="J39" s="113"/>
      <c r="K39" s="100">
        <f t="shared" si="0"/>
        <v>3.7515999999999998</v>
      </c>
      <c r="L39" s="95"/>
      <c r="M39" s="95">
        <f t="shared" si="3"/>
        <v>0.43159999999999998</v>
      </c>
      <c r="N39" s="64">
        <f t="shared" si="1"/>
        <v>0</v>
      </c>
      <c r="O39" s="64"/>
      <c r="P39" s="95">
        <f t="shared" si="6"/>
        <v>0.43159999999999998</v>
      </c>
      <c r="Q39" s="64"/>
      <c r="R39" s="95">
        <f t="shared" si="5"/>
        <v>0</v>
      </c>
      <c r="S39" s="64"/>
      <c r="T39" s="101"/>
    </row>
    <row r="40" spans="1:20" x14ac:dyDescent="0.2">
      <c r="A40" s="185">
        <v>12</v>
      </c>
      <c r="B40" s="97">
        <v>11</v>
      </c>
      <c r="C40" s="107" t="s">
        <v>653</v>
      </c>
      <c r="D40" s="39">
        <v>45688</v>
      </c>
      <c r="E40" s="2" t="s">
        <v>587</v>
      </c>
      <c r="F40" s="98" t="s">
        <v>607</v>
      </c>
      <c r="G40" s="99">
        <v>51260824290</v>
      </c>
      <c r="H40" s="74"/>
      <c r="I40" s="74">
        <v>3.32</v>
      </c>
      <c r="J40" s="113"/>
      <c r="K40" s="100">
        <f t="shared" si="0"/>
        <v>3.7515999999999998</v>
      </c>
      <c r="L40" s="95"/>
      <c r="M40" s="95">
        <f t="shared" si="3"/>
        <v>0.43159999999999998</v>
      </c>
      <c r="N40" s="64">
        <f t="shared" si="1"/>
        <v>0</v>
      </c>
      <c r="O40" s="64"/>
      <c r="P40" s="95">
        <f t="shared" si="6"/>
        <v>0.43159999999999998</v>
      </c>
      <c r="Q40" s="64"/>
      <c r="R40" s="95">
        <f t="shared" si="5"/>
        <v>0</v>
      </c>
      <c r="S40" s="64"/>
      <c r="T40" s="101"/>
    </row>
    <row r="41" spans="1:20" x14ac:dyDescent="0.2">
      <c r="A41" s="360">
        <v>13</v>
      </c>
      <c r="B41" s="134">
        <v>12</v>
      </c>
      <c r="C41" s="142" t="s">
        <v>654</v>
      </c>
      <c r="D41" s="143">
        <v>45688</v>
      </c>
      <c r="E41" s="139" t="s">
        <v>587</v>
      </c>
      <c r="F41" s="140" t="s">
        <v>607</v>
      </c>
      <c r="G41" s="141">
        <v>51260824290</v>
      </c>
      <c r="H41" s="74"/>
      <c r="I41" s="74">
        <v>3.32</v>
      </c>
      <c r="J41" s="113"/>
      <c r="K41" s="100">
        <f>H41+I41+J41+M41</f>
        <v>3.7515999999999998</v>
      </c>
      <c r="L41" s="95"/>
      <c r="M41" s="95">
        <f>SUM(N41:S41)</f>
        <v>0.43159999999999998</v>
      </c>
      <c r="N41" s="64">
        <f t="shared" si="1"/>
        <v>0</v>
      </c>
      <c r="O41" s="64"/>
      <c r="P41" s="95">
        <f>+I41*0.13</f>
        <v>0.43159999999999998</v>
      </c>
      <c r="Q41" s="64"/>
      <c r="R41" s="95">
        <f>J41*0.25</f>
        <v>0</v>
      </c>
      <c r="S41" s="64"/>
      <c r="T41" s="101"/>
    </row>
    <row r="42" spans="1:20" x14ac:dyDescent="0.2">
      <c r="A42" s="185">
        <v>15</v>
      </c>
      <c r="B42" s="230">
        <v>13</v>
      </c>
      <c r="C42" s="107" t="s">
        <v>656</v>
      </c>
      <c r="D42" s="39">
        <v>45691</v>
      </c>
      <c r="E42" s="2" t="s">
        <v>657</v>
      </c>
      <c r="F42" s="98" t="s">
        <v>658</v>
      </c>
      <c r="G42" s="99">
        <v>21523879111</v>
      </c>
      <c r="H42" s="74"/>
      <c r="I42" s="74"/>
      <c r="J42" s="113">
        <v>876.84</v>
      </c>
      <c r="K42" s="100">
        <f>H42+I42+J42+M42</f>
        <v>1096.05</v>
      </c>
      <c r="L42" s="95"/>
      <c r="M42" s="95">
        <f>SUM(N42:S42)</f>
        <v>219.21</v>
      </c>
      <c r="N42" s="64">
        <f t="shared" si="1"/>
        <v>0</v>
      </c>
      <c r="O42" s="64"/>
      <c r="P42" s="95">
        <f>+I42*0.13</f>
        <v>0</v>
      </c>
      <c r="Q42" s="64"/>
      <c r="R42" s="95">
        <f>J42*0.25</f>
        <v>219.21</v>
      </c>
      <c r="S42" s="64"/>
      <c r="T42" s="101"/>
    </row>
    <row r="43" spans="1:20" x14ac:dyDescent="0.2">
      <c r="A43" s="360">
        <v>16</v>
      </c>
      <c r="B43" s="231">
        <v>14</v>
      </c>
      <c r="C43" s="107" t="s">
        <v>659</v>
      </c>
      <c r="D43" s="39">
        <v>45700</v>
      </c>
      <c r="E43" s="2" t="s">
        <v>661</v>
      </c>
      <c r="F43" s="98" t="s">
        <v>662</v>
      </c>
      <c r="G43" s="99">
        <v>96860569005</v>
      </c>
      <c r="H43" s="74"/>
      <c r="I43" s="74"/>
      <c r="J43" s="113">
        <v>1044</v>
      </c>
      <c r="K43" s="100">
        <f t="shared" si="0"/>
        <v>1305</v>
      </c>
      <c r="L43" s="95"/>
      <c r="M43" s="95">
        <f t="shared" si="3"/>
        <v>261</v>
      </c>
      <c r="N43" s="64">
        <f t="shared" si="1"/>
        <v>0</v>
      </c>
      <c r="O43" s="64"/>
      <c r="P43" s="95">
        <f t="shared" si="6"/>
        <v>0</v>
      </c>
      <c r="Q43" s="64"/>
      <c r="R43" s="95">
        <f t="shared" si="5"/>
        <v>261</v>
      </c>
      <c r="S43" s="64"/>
      <c r="T43" s="101"/>
    </row>
    <row r="44" spans="1:20" x14ac:dyDescent="0.2">
      <c r="A44" s="185">
        <v>17</v>
      </c>
      <c r="B44" s="230">
        <v>15</v>
      </c>
      <c r="C44" s="107" t="s">
        <v>663</v>
      </c>
      <c r="D44" s="39">
        <v>45716</v>
      </c>
      <c r="E44" s="2" t="s">
        <v>613</v>
      </c>
      <c r="F44" s="98" t="s">
        <v>614</v>
      </c>
      <c r="G44" s="99">
        <v>81793146560</v>
      </c>
      <c r="H44" s="74"/>
      <c r="I44" s="74"/>
      <c r="J44" s="113">
        <v>28.37</v>
      </c>
      <c r="K44" s="100">
        <f t="shared" si="0"/>
        <v>35.462499999999999</v>
      </c>
      <c r="L44" s="95"/>
      <c r="M44" s="95">
        <f t="shared" si="3"/>
        <v>7.0925000000000002</v>
      </c>
      <c r="N44" s="64">
        <f t="shared" si="1"/>
        <v>0</v>
      </c>
      <c r="O44" s="64"/>
      <c r="P44" s="95">
        <f t="shared" si="6"/>
        <v>0</v>
      </c>
      <c r="Q44" s="64"/>
      <c r="R44" s="95">
        <f t="shared" si="5"/>
        <v>7.0925000000000002</v>
      </c>
      <c r="S44" s="64"/>
      <c r="T44" s="101"/>
    </row>
    <row r="45" spans="1:20" x14ac:dyDescent="0.2">
      <c r="A45" s="360">
        <v>18</v>
      </c>
      <c r="B45" s="231">
        <v>16</v>
      </c>
      <c r="C45" s="107" t="s">
        <v>664</v>
      </c>
      <c r="D45" s="39">
        <v>45716</v>
      </c>
      <c r="E45" s="2" t="s">
        <v>589</v>
      </c>
      <c r="F45" s="2" t="s">
        <v>594</v>
      </c>
      <c r="G45" s="99">
        <v>26618043061</v>
      </c>
      <c r="H45" s="74"/>
      <c r="I45" s="74"/>
      <c r="J45" s="113">
        <v>187.5</v>
      </c>
      <c r="K45" s="100">
        <f t="shared" si="0"/>
        <v>234.375</v>
      </c>
      <c r="L45" s="95"/>
      <c r="M45" s="95">
        <f t="shared" si="3"/>
        <v>46.875</v>
      </c>
      <c r="N45" s="64">
        <f t="shared" si="1"/>
        <v>0</v>
      </c>
      <c r="O45" s="64"/>
      <c r="P45" s="95">
        <f t="shared" si="6"/>
        <v>0</v>
      </c>
      <c r="Q45" s="64"/>
      <c r="R45" s="95">
        <f t="shared" si="5"/>
        <v>46.875</v>
      </c>
      <c r="S45" s="64"/>
      <c r="T45" s="101"/>
    </row>
    <row r="46" spans="1:20" x14ac:dyDescent="0.2">
      <c r="A46" s="185">
        <v>19</v>
      </c>
      <c r="B46" s="230">
        <v>17</v>
      </c>
      <c r="C46" s="107" t="s">
        <v>665</v>
      </c>
      <c r="D46" s="39">
        <v>45716</v>
      </c>
      <c r="E46" s="139" t="s">
        <v>588</v>
      </c>
      <c r="F46" s="140" t="s">
        <v>595</v>
      </c>
      <c r="G46" s="141">
        <v>77465071491</v>
      </c>
      <c r="H46" s="74"/>
      <c r="I46" s="74">
        <v>15.93</v>
      </c>
      <c r="J46" s="113"/>
      <c r="K46" s="100">
        <f>H46+I46+J46+M46</f>
        <v>18.000900000000001</v>
      </c>
      <c r="L46" s="95"/>
      <c r="M46" s="95">
        <f>SUM(N46:S46)</f>
        <v>2.0709</v>
      </c>
      <c r="N46" s="64">
        <f t="shared" si="1"/>
        <v>0</v>
      </c>
      <c r="O46" s="64"/>
      <c r="P46" s="95">
        <f>+I46*0.13</f>
        <v>2.0709</v>
      </c>
      <c r="Q46" s="64"/>
      <c r="R46" s="95">
        <f>J46*0.25</f>
        <v>0</v>
      </c>
      <c r="S46" s="64"/>
      <c r="T46" s="101"/>
    </row>
    <row r="47" spans="1:20" x14ac:dyDescent="0.2">
      <c r="A47" s="360">
        <v>20</v>
      </c>
      <c r="B47" s="231">
        <v>18</v>
      </c>
      <c r="C47" s="107" t="s">
        <v>665</v>
      </c>
      <c r="D47" s="39">
        <v>45716</v>
      </c>
      <c r="E47" s="2" t="s">
        <v>587</v>
      </c>
      <c r="F47" s="98" t="s">
        <v>607</v>
      </c>
      <c r="G47" s="99">
        <v>51260824290</v>
      </c>
      <c r="H47" s="74"/>
      <c r="I47" s="74">
        <v>3.32</v>
      </c>
      <c r="J47" s="113"/>
      <c r="K47" s="100">
        <f t="shared" si="0"/>
        <v>3.7515999999999998</v>
      </c>
      <c r="L47" s="95"/>
      <c r="M47" s="95">
        <f t="shared" si="3"/>
        <v>0.43159999999999998</v>
      </c>
      <c r="N47" s="64">
        <f t="shared" si="1"/>
        <v>0</v>
      </c>
      <c r="O47" s="64"/>
      <c r="P47" s="95">
        <f t="shared" si="6"/>
        <v>0.43159999999999998</v>
      </c>
      <c r="Q47" s="64"/>
      <c r="R47" s="95">
        <f t="shared" si="5"/>
        <v>0</v>
      </c>
      <c r="S47" s="64"/>
      <c r="T47" s="101"/>
    </row>
    <row r="48" spans="1:20" x14ac:dyDescent="0.2">
      <c r="A48" s="185">
        <v>21</v>
      </c>
      <c r="B48" s="230">
        <v>19</v>
      </c>
      <c r="C48" s="107" t="s">
        <v>666</v>
      </c>
      <c r="D48" s="39">
        <v>45716</v>
      </c>
      <c r="E48" s="2" t="s">
        <v>587</v>
      </c>
      <c r="F48" s="98" t="s">
        <v>607</v>
      </c>
      <c r="G48" s="99">
        <v>51260824290</v>
      </c>
      <c r="H48" s="74">
        <v>0</v>
      </c>
      <c r="I48" s="74">
        <v>3.32</v>
      </c>
      <c r="J48" s="113"/>
      <c r="K48" s="100">
        <f t="shared" si="0"/>
        <v>3.7515999999999998</v>
      </c>
      <c r="L48" s="95"/>
      <c r="M48" s="95">
        <f t="shared" si="3"/>
        <v>0.43159999999999998</v>
      </c>
      <c r="N48" s="64">
        <f t="shared" si="1"/>
        <v>0</v>
      </c>
      <c r="O48" s="64"/>
      <c r="P48" s="95">
        <f t="shared" si="6"/>
        <v>0.43159999999999998</v>
      </c>
      <c r="Q48" s="64"/>
      <c r="R48" s="95">
        <f t="shared" si="5"/>
        <v>0</v>
      </c>
      <c r="S48" s="64"/>
      <c r="T48" s="101"/>
    </row>
    <row r="49" spans="1:20" x14ac:dyDescent="0.2">
      <c r="A49" s="360">
        <v>22</v>
      </c>
      <c r="B49" s="231">
        <v>20</v>
      </c>
      <c r="C49" s="142" t="s">
        <v>667</v>
      </c>
      <c r="D49" s="39">
        <v>45716</v>
      </c>
      <c r="E49" s="139" t="s">
        <v>587</v>
      </c>
      <c r="F49" s="140" t="s">
        <v>607</v>
      </c>
      <c r="G49" s="141">
        <v>51260824290</v>
      </c>
      <c r="H49" s="74"/>
      <c r="I49" s="74">
        <v>3.32</v>
      </c>
      <c r="J49" s="113"/>
      <c r="K49" s="100">
        <f t="shared" si="0"/>
        <v>3.7515999999999998</v>
      </c>
      <c r="L49" s="95"/>
      <c r="M49" s="95">
        <f t="shared" si="3"/>
        <v>0.43159999999999998</v>
      </c>
      <c r="N49" s="64">
        <f t="shared" si="1"/>
        <v>0</v>
      </c>
      <c r="O49" s="64"/>
      <c r="P49" s="95">
        <f t="shared" si="6"/>
        <v>0.43159999999999998</v>
      </c>
      <c r="Q49" s="64"/>
      <c r="R49" s="95">
        <f t="shared" si="5"/>
        <v>0</v>
      </c>
      <c r="S49" s="64"/>
      <c r="T49" s="101"/>
    </row>
    <row r="50" spans="1:20" x14ac:dyDescent="0.2">
      <c r="A50" s="185">
        <v>23</v>
      </c>
      <c r="B50" s="230">
        <v>21</v>
      </c>
      <c r="C50" s="107" t="s">
        <v>610</v>
      </c>
      <c r="D50" s="39">
        <v>45716</v>
      </c>
      <c r="E50" s="2" t="s">
        <v>608</v>
      </c>
      <c r="F50" s="98" t="s">
        <v>609</v>
      </c>
      <c r="G50" s="99">
        <v>43965974818</v>
      </c>
      <c r="H50" s="74"/>
      <c r="I50" s="74">
        <v>6.49</v>
      </c>
      <c r="J50" s="113"/>
      <c r="K50" s="100">
        <f>H50+I50+J50+M50</f>
        <v>7.3337000000000003</v>
      </c>
      <c r="L50" s="95"/>
      <c r="M50" s="95">
        <f>SUM(N50:S50)</f>
        <v>0.84370000000000001</v>
      </c>
      <c r="N50" s="64">
        <f t="shared" si="1"/>
        <v>0</v>
      </c>
      <c r="O50" s="64"/>
      <c r="P50" s="95">
        <f>+I50*0.13</f>
        <v>0.84370000000000001</v>
      </c>
      <c r="Q50" s="64"/>
      <c r="R50" s="95">
        <f>J50*0.25</f>
        <v>0</v>
      </c>
      <c r="S50" s="64"/>
      <c r="T50" s="101"/>
    </row>
    <row r="51" spans="1:20" x14ac:dyDescent="0.2">
      <c r="A51" s="360">
        <v>24</v>
      </c>
      <c r="B51" s="231">
        <v>22</v>
      </c>
      <c r="C51" s="107" t="s">
        <v>615</v>
      </c>
      <c r="D51" s="39">
        <v>45716</v>
      </c>
      <c r="E51" s="2" t="s">
        <v>608</v>
      </c>
      <c r="F51" s="98" t="s">
        <v>609</v>
      </c>
      <c r="G51" s="99">
        <v>43965974818</v>
      </c>
      <c r="H51" s="74"/>
      <c r="I51" s="74">
        <v>9.3800000000000008</v>
      </c>
      <c r="J51" s="113"/>
      <c r="K51" s="100">
        <f t="shared" si="0"/>
        <v>10.599400000000001</v>
      </c>
      <c r="L51" s="95"/>
      <c r="M51" s="95">
        <f t="shared" si="3"/>
        <v>1.2194</v>
      </c>
      <c r="N51" s="64">
        <f t="shared" si="1"/>
        <v>0</v>
      </c>
      <c r="O51" s="64"/>
      <c r="P51" s="95">
        <f t="shared" si="6"/>
        <v>1.2194</v>
      </c>
      <c r="Q51" s="64"/>
      <c r="R51" s="95">
        <f t="shared" si="5"/>
        <v>0</v>
      </c>
      <c r="S51" s="64"/>
      <c r="T51" s="101"/>
    </row>
    <row r="52" spans="1:20" x14ac:dyDescent="0.2">
      <c r="A52" s="185">
        <v>25</v>
      </c>
      <c r="B52" s="230">
        <v>23</v>
      </c>
      <c r="C52" s="107" t="s">
        <v>611</v>
      </c>
      <c r="D52" s="39">
        <v>45716</v>
      </c>
      <c r="E52" s="2" t="s">
        <v>608</v>
      </c>
      <c r="F52" s="98" t="s">
        <v>609</v>
      </c>
      <c r="G52" s="99">
        <v>43965974818</v>
      </c>
      <c r="H52" s="74"/>
      <c r="I52" s="74">
        <v>2.83</v>
      </c>
      <c r="J52" s="113"/>
      <c r="K52" s="100">
        <f t="shared" ref="K52:K66" si="7">H52+I52+J52+M52</f>
        <v>3.1979000000000002</v>
      </c>
      <c r="L52" s="95"/>
      <c r="M52" s="95">
        <f t="shared" ref="M52:M60" si="8">SUM(N52:S52)</f>
        <v>0.3679</v>
      </c>
      <c r="N52" s="64">
        <f t="shared" si="1"/>
        <v>0</v>
      </c>
      <c r="O52" s="64"/>
      <c r="P52" s="95">
        <f t="shared" ref="P52:P60" si="9">+I52*0.13</f>
        <v>0.3679</v>
      </c>
      <c r="Q52" s="64"/>
      <c r="R52" s="95">
        <f t="shared" ref="R52:R60" si="10">J52*0.25</f>
        <v>0</v>
      </c>
      <c r="S52" s="64"/>
      <c r="T52" s="101"/>
    </row>
    <row r="53" spans="1:20" x14ac:dyDescent="0.2">
      <c r="A53" s="360">
        <v>26</v>
      </c>
      <c r="B53" s="231">
        <v>24</v>
      </c>
      <c r="C53" s="107" t="s">
        <v>612</v>
      </c>
      <c r="D53" s="39">
        <v>45716</v>
      </c>
      <c r="E53" s="2" t="s">
        <v>608</v>
      </c>
      <c r="F53" s="98" t="s">
        <v>609</v>
      </c>
      <c r="G53" s="99">
        <v>43965974818</v>
      </c>
      <c r="H53" s="74"/>
      <c r="I53" s="74">
        <v>6.95</v>
      </c>
      <c r="J53" s="113"/>
      <c r="K53" s="100">
        <f t="shared" si="7"/>
        <v>7.8535000000000004</v>
      </c>
      <c r="L53" s="95"/>
      <c r="M53" s="95">
        <f t="shared" si="8"/>
        <v>0.90350000000000008</v>
      </c>
      <c r="N53" s="64">
        <f t="shared" si="1"/>
        <v>0</v>
      </c>
      <c r="O53" s="64"/>
      <c r="P53" s="95">
        <f t="shared" si="9"/>
        <v>0.90350000000000008</v>
      </c>
      <c r="Q53" s="64"/>
      <c r="R53" s="95">
        <f t="shared" si="10"/>
        <v>0</v>
      </c>
      <c r="S53" s="64"/>
      <c r="T53" s="101"/>
    </row>
    <row r="54" spans="1:20" x14ac:dyDescent="0.2">
      <c r="A54" s="185">
        <v>27</v>
      </c>
      <c r="B54" s="230">
        <v>25</v>
      </c>
      <c r="C54" s="2" t="s">
        <v>668</v>
      </c>
      <c r="D54" s="39">
        <v>45717</v>
      </c>
      <c r="E54" s="2" t="s">
        <v>632</v>
      </c>
      <c r="F54" s="2" t="s">
        <v>633</v>
      </c>
      <c r="G54" s="150">
        <v>68419124305</v>
      </c>
      <c r="H54" s="74"/>
      <c r="I54" s="74"/>
      <c r="J54" s="113"/>
      <c r="K54" s="100">
        <v>10.62</v>
      </c>
      <c r="L54" s="95"/>
      <c r="M54" s="95">
        <f t="shared" si="8"/>
        <v>0</v>
      </c>
      <c r="N54" s="64">
        <f t="shared" si="1"/>
        <v>0</v>
      </c>
      <c r="O54" s="64"/>
      <c r="P54" s="95">
        <f t="shared" si="9"/>
        <v>0</v>
      </c>
      <c r="Q54" s="64"/>
      <c r="R54" s="95">
        <f t="shared" si="10"/>
        <v>0</v>
      </c>
      <c r="S54" s="64"/>
      <c r="T54" s="101"/>
    </row>
    <row r="55" spans="1:20" x14ac:dyDescent="0.2">
      <c r="A55" s="360">
        <v>30</v>
      </c>
      <c r="B55" s="231">
        <v>26</v>
      </c>
      <c r="C55" s="107" t="s">
        <v>671</v>
      </c>
      <c r="D55" s="39">
        <v>45747</v>
      </c>
      <c r="E55" s="2" t="s">
        <v>613</v>
      </c>
      <c r="F55" s="98" t="s">
        <v>614</v>
      </c>
      <c r="G55" s="99">
        <v>81793146560</v>
      </c>
      <c r="H55" s="74"/>
      <c r="I55" s="74"/>
      <c r="J55" s="113">
        <v>29.21</v>
      </c>
      <c r="K55" s="100">
        <f t="shared" si="7"/>
        <v>36.512500000000003</v>
      </c>
      <c r="L55" s="95"/>
      <c r="M55" s="95">
        <f t="shared" si="8"/>
        <v>7.3025000000000002</v>
      </c>
      <c r="N55" s="64">
        <f t="shared" si="1"/>
        <v>0</v>
      </c>
      <c r="O55" s="64"/>
      <c r="P55" s="95">
        <f t="shared" si="9"/>
        <v>0</v>
      </c>
      <c r="Q55" s="64"/>
      <c r="R55" s="95">
        <f t="shared" si="10"/>
        <v>7.3025000000000002</v>
      </c>
      <c r="S55" s="64"/>
      <c r="T55" s="101"/>
    </row>
    <row r="56" spans="1:20" x14ac:dyDescent="0.2">
      <c r="A56" s="185">
        <v>31</v>
      </c>
      <c r="B56" s="230">
        <v>27</v>
      </c>
      <c r="C56" s="107" t="s">
        <v>610</v>
      </c>
      <c r="D56" s="39">
        <v>45747</v>
      </c>
      <c r="E56" s="2" t="s">
        <v>608</v>
      </c>
      <c r="F56" s="98" t="s">
        <v>609</v>
      </c>
      <c r="G56" s="99">
        <v>43965974818</v>
      </c>
      <c r="H56" s="74"/>
      <c r="I56" s="74">
        <v>2.7</v>
      </c>
      <c r="J56" s="113"/>
      <c r="K56" s="100">
        <f t="shared" si="7"/>
        <v>3.0510000000000002</v>
      </c>
      <c r="L56" s="95"/>
      <c r="M56" s="95">
        <f t="shared" si="8"/>
        <v>0.35100000000000003</v>
      </c>
      <c r="N56" s="64">
        <f t="shared" si="1"/>
        <v>0</v>
      </c>
      <c r="O56" s="64"/>
      <c r="P56" s="95">
        <f t="shared" si="9"/>
        <v>0.35100000000000003</v>
      </c>
      <c r="Q56" s="64"/>
      <c r="R56" s="95">
        <f t="shared" si="10"/>
        <v>0</v>
      </c>
      <c r="S56" s="64"/>
      <c r="T56" s="101"/>
    </row>
    <row r="57" spans="1:20" x14ac:dyDescent="0.2">
      <c r="A57" s="360">
        <v>32</v>
      </c>
      <c r="B57" s="231">
        <v>28</v>
      </c>
      <c r="C57" s="107" t="s">
        <v>611</v>
      </c>
      <c r="D57" s="39">
        <v>45747</v>
      </c>
      <c r="E57" s="2" t="s">
        <v>608</v>
      </c>
      <c r="F57" s="98" t="s">
        <v>609</v>
      </c>
      <c r="G57" s="99">
        <v>43965974818</v>
      </c>
      <c r="H57" s="74"/>
      <c r="I57" s="74">
        <v>2.7</v>
      </c>
      <c r="J57" s="113"/>
      <c r="K57" s="100">
        <f t="shared" si="7"/>
        <v>3.0510000000000002</v>
      </c>
      <c r="L57" s="95"/>
      <c r="M57" s="95">
        <f t="shared" si="8"/>
        <v>0.35100000000000003</v>
      </c>
      <c r="N57" s="64">
        <f t="shared" si="1"/>
        <v>0</v>
      </c>
      <c r="O57" s="64"/>
      <c r="P57" s="95">
        <f t="shared" si="9"/>
        <v>0.35100000000000003</v>
      </c>
      <c r="Q57" s="64"/>
      <c r="R57" s="95">
        <f t="shared" si="10"/>
        <v>0</v>
      </c>
      <c r="S57" s="64"/>
      <c r="T57" s="101"/>
    </row>
    <row r="58" spans="1:20" x14ac:dyDescent="0.2">
      <c r="A58" s="185">
        <v>33</v>
      </c>
      <c r="B58" s="230">
        <v>29</v>
      </c>
      <c r="C58" s="142" t="s">
        <v>615</v>
      </c>
      <c r="D58" s="39">
        <v>45747</v>
      </c>
      <c r="E58" s="2" t="s">
        <v>608</v>
      </c>
      <c r="F58" s="98" t="s">
        <v>609</v>
      </c>
      <c r="G58" s="99">
        <v>43965974818</v>
      </c>
      <c r="H58" s="74"/>
      <c r="I58" s="74">
        <v>4.6500000000000004</v>
      </c>
      <c r="J58" s="113"/>
      <c r="K58" s="100">
        <f t="shared" si="7"/>
        <v>5.2545000000000002</v>
      </c>
      <c r="L58" s="95"/>
      <c r="M58" s="95">
        <f t="shared" si="8"/>
        <v>0.60450000000000004</v>
      </c>
      <c r="N58" s="64">
        <f t="shared" si="1"/>
        <v>0</v>
      </c>
      <c r="O58" s="64"/>
      <c r="P58" s="95">
        <f t="shared" si="9"/>
        <v>0.60450000000000004</v>
      </c>
      <c r="Q58" s="64"/>
      <c r="R58" s="95">
        <f t="shared" si="10"/>
        <v>0</v>
      </c>
      <c r="S58" s="64"/>
      <c r="T58" s="101"/>
    </row>
    <row r="59" spans="1:20" x14ac:dyDescent="0.2">
      <c r="A59" s="360">
        <v>34</v>
      </c>
      <c r="B59" s="231">
        <v>30</v>
      </c>
      <c r="C59" s="107" t="s">
        <v>612</v>
      </c>
      <c r="D59" s="39">
        <v>45747</v>
      </c>
      <c r="E59" s="2" t="s">
        <v>608</v>
      </c>
      <c r="F59" s="98" t="s">
        <v>609</v>
      </c>
      <c r="G59" s="99">
        <v>43965974818</v>
      </c>
      <c r="H59" s="74"/>
      <c r="I59" s="74">
        <v>3.55</v>
      </c>
      <c r="J59" s="113"/>
      <c r="K59" s="100">
        <f t="shared" si="7"/>
        <v>4.0114999999999998</v>
      </c>
      <c r="L59" s="95"/>
      <c r="M59" s="95">
        <f t="shared" si="8"/>
        <v>0.46149999999999997</v>
      </c>
      <c r="N59" s="64">
        <f t="shared" si="1"/>
        <v>0</v>
      </c>
      <c r="O59" s="64"/>
      <c r="P59" s="95">
        <f t="shared" si="9"/>
        <v>0.46149999999999997</v>
      </c>
      <c r="Q59" s="64"/>
      <c r="R59" s="95">
        <f t="shared" si="10"/>
        <v>0</v>
      </c>
      <c r="S59" s="64"/>
      <c r="T59" s="101"/>
    </row>
    <row r="60" spans="1:20" x14ac:dyDescent="0.2">
      <c r="A60" s="185">
        <v>35</v>
      </c>
      <c r="B60" s="230">
        <v>31</v>
      </c>
      <c r="C60" s="133" t="s">
        <v>672</v>
      </c>
      <c r="D60" s="39">
        <v>45747</v>
      </c>
      <c r="E60" s="139" t="s">
        <v>588</v>
      </c>
      <c r="F60" s="140" t="s">
        <v>595</v>
      </c>
      <c r="G60" s="141">
        <v>77465071491</v>
      </c>
      <c r="H60" s="74"/>
      <c r="I60" s="74">
        <v>15.93</v>
      </c>
      <c r="J60" s="113"/>
      <c r="K60" s="100">
        <f t="shared" si="7"/>
        <v>18.000900000000001</v>
      </c>
      <c r="L60" s="95"/>
      <c r="M60" s="95">
        <f t="shared" si="8"/>
        <v>2.0709</v>
      </c>
      <c r="N60" s="64">
        <f t="shared" si="1"/>
        <v>0</v>
      </c>
      <c r="O60" s="64"/>
      <c r="P60" s="95">
        <f t="shared" si="9"/>
        <v>2.0709</v>
      </c>
      <c r="Q60" s="64"/>
      <c r="R60" s="95">
        <f t="shared" si="10"/>
        <v>0</v>
      </c>
      <c r="S60" s="64"/>
      <c r="T60" s="101"/>
    </row>
    <row r="61" spans="1:20" x14ac:dyDescent="0.2">
      <c r="A61" s="360">
        <v>36</v>
      </c>
      <c r="B61" s="231">
        <v>32</v>
      </c>
      <c r="C61" s="133" t="s">
        <v>672</v>
      </c>
      <c r="D61" s="39">
        <v>45747</v>
      </c>
      <c r="E61" s="2" t="s">
        <v>587</v>
      </c>
      <c r="F61" s="98" t="s">
        <v>607</v>
      </c>
      <c r="G61" s="99">
        <v>51260824290</v>
      </c>
      <c r="H61" s="74"/>
      <c r="I61" s="74">
        <v>3.32</v>
      </c>
      <c r="J61" s="113"/>
      <c r="K61" s="100">
        <f t="shared" si="7"/>
        <v>3.7515999999999998</v>
      </c>
      <c r="L61" s="95"/>
      <c r="M61" s="95">
        <f t="shared" ref="M61:M74" si="11">SUM(N61:S61)</f>
        <v>0.43159999999999998</v>
      </c>
      <c r="N61" s="64">
        <f t="shared" si="1"/>
        <v>0</v>
      </c>
      <c r="O61" s="64"/>
      <c r="P61" s="95">
        <f t="shared" ref="P61:P74" si="12">+I61*0.13</f>
        <v>0.43159999999999998</v>
      </c>
      <c r="Q61" s="64"/>
      <c r="R61" s="95">
        <f t="shared" ref="R61:R74" si="13">J61*0.25</f>
        <v>0</v>
      </c>
      <c r="S61" s="64"/>
      <c r="T61" s="101"/>
    </row>
    <row r="62" spans="1:20" x14ac:dyDescent="0.2">
      <c r="A62" s="185">
        <v>37</v>
      </c>
      <c r="B62" s="230">
        <v>33</v>
      </c>
      <c r="C62" s="133" t="s">
        <v>673</v>
      </c>
      <c r="D62" s="39">
        <v>45747</v>
      </c>
      <c r="E62" s="2" t="s">
        <v>587</v>
      </c>
      <c r="F62" s="98" t="s">
        <v>607</v>
      </c>
      <c r="G62" s="99">
        <v>51260824290</v>
      </c>
      <c r="H62" s="74"/>
      <c r="I62" s="74">
        <v>3.32</v>
      </c>
      <c r="J62" s="113"/>
      <c r="K62" s="100">
        <f t="shared" si="7"/>
        <v>3.7515999999999998</v>
      </c>
      <c r="L62" s="95"/>
      <c r="M62" s="95">
        <f t="shared" si="11"/>
        <v>0.43159999999999998</v>
      </c>
      <c r="N62" s="64">
        <f t="shared" si="1"/>
        <v>0</v>
      </c>
      <c r="O62" s="64"/>
      <c r="P62" s="95">
        <f t="shared" si="12"/>
        <v>0.43159999999999998</v>
      </c>
      <c r="Q62" s="64"/>
      <c r="R62" s="95">
        <f t="shared" si="13"/>
        <v>0</v>
      </c>
      <c r="S62" s="64"/>
      <c r="T62" s="101"/>
    </row>
    <row r="63" spans="1:20" x14ac:dyDescent="0.2">
      <c r="A63" s="360">
        <v>38</v>
      </c>
      <c r="B63" s="231">
        <v>34</v>
      </c>
      <c r="C63" s="133" t="s">
        <v>674</v>
      </c>
      <c r="D63" s="39">
        <v>45747</v>
      </c>
      <c r="E63" s="139" t="s">
        <v>587</v>
      </c>
      <c r="F63" s="140" t="s">
        <v>607</v>
      </c>
      <c r="G63" s="141">
        <v>51260824290</v>
      </c>
      <c r="H63" s="74"/>
      <c r="I63" s="74">
        <v>3.32</v>
      </c>
      <c r="J63" s="113"/>
      <c r="K63" s="100">
        <f>H63+I63+J63+M63</f>
        <v>3.7515999999999998</v>
      </c>
      <c r="L63" s="95"/>
      <c r="M63" s="95">
        <f t="shared" si="11"/>
        <v>0.43159999999999998</v>
      </c>
      <c r="N63" s="64">
        <f t="shared" si="1"/>
        <v>0</v>
      </c>
      <c r="O63" s="64"/>
      <c r="P63" s="95">
        <f t="shared" si="12"/>
        <v>0.43159999999999998</v>
      </c>
      <c r="Q63" s="64"/>
      <c r="R63" s="95">
        <f t="shared" si="13"/>
        <v>0</v>
      </c>
      <c r="S63" s="64"/>
      <c r="T63" s="101"/>
    </row>
    <row r="64" spans="1:20" x14ac:dyDescent="0.2">
      <c r="A64" s="185">
        <v>39</v>
      </c>
      <c r="B64" s="230">
        <v>35</v>
      </c>
      <c r="C64" s="133" t="s">
        <v>675</v>
      </c>
      <c r="D64" s="135">
        <v>45747</v>
      </c>
      <c r="E64" s="2" t="s">
        <v>589</v>
      </c>
      <c r="F64" s="2" t="s">
        <v>594</v>
      </c>
      <c r="G64" s="99">
        <v>26618043061</v>
      </c>
      <c r="H64" s="74"/>
      <c r="I64" s="74"/>
      <c r="J64" s="113">
        <v>50</v>
      </c>
      <c r="K64" s="100">
        <f t="shared" si="7"/>
        <v>62.5</v>
      </c>
      <c r="L64" s="95"/>
      <c r="M64" s="95">
        <f t="shared" si="11"/>
        <v>12.5</v>
      </c>
      <c r="N64" s="64">
        <f t="shared" si="1"/>
        <v>0</v>
      </c>
      <c r="O64" s="64"/>
      <c r="P64" s="95">
        <f t="shared" si="12"/>
        <v>0</v>
      </c>
      <c r="Q64" s="64"/>
      <c r="R64" s="95">
        <f t="shared" si="13"/>
        <v>12.5</v>
      </c>
      <c r="S64" s="64"/>
      <c r="T64" s="101"/>
    </row>
    <row r="65" spans="1:20" x14ac:dyDescent="0.2">
      <c r="A65" s="360">
        <v>40</v>
      </c>
      <c r="B65" s="231">
        <v>36</v>
      </c>
      <c r="C65" s="133" t="s">
        <v>676</v>
      </c>
      <c r="D65" s="135">
        <v>45748</v>
      </c>
      <c r="E65" s="2" t="s">
        <v>632</v>
      </c>
      <c r="F65" s="2" t="s">
        <v>633</v>
      </c>
      <c r="G65" s="150">
        <v>68419124305</v>
      </c>
      <c r="H65" s="74"/>
      <c r="I65" s="74"/>
      <c r="J65" s="113"/>
      <c r="K65" s="100">
        <v>10.62</v>
      </c>
      <c r="L65" s="95"/>
      <c r="M65" s="95">
        <f t="shared" si="11"/>
        <v>0</v>
      </c>
      <c r="N65" s="64">
        <f t="shared" si="1"/>
        <v>0</v>
      </c>
      <c r="O65" s="64"/>
      <c r="P65" s="95">
        <f t="shared" si="12"/>
        <v>0</v>
      </c>
      <c r="Q65" s="64"/>
      <c r="R65" s="95">
        <f t="shared" si="13"/>
        <v>0</v>
      </c>
      <c r="S65" s="64"/>
      <c r="T65" s="101"/>
    </row>
    <row r="66" spans="1:20" x14ac:dyDescent="0.2">
      <c r="A66" s="185">
        <v>42</v>
      </c>
      <c r="B66" s="230">
        <v>37</v>
      </c>
      <c r="C66" s="133" t="s">
        <v>677</v>
      </c>
      <c r="D66" s="135">
        <v>45764</v>
      </c>
      <c r="E66" s="2" t="s">
        <v>657</v>
      </c>
      <c r="F66" s="98" t="s">
        <v>658</v>
      </c>
      <c r="G66" s="99">
        <v>21523879111</v>
      </c>
      <c r="H66" s="74"/>
      <c r="I66" s="74"/>
      <c r="J66" s="113">
        <v>451.61</v>
      </c>
      <c r="K66" s="100">
        <f t="shared" si="7"/>
        <v>564.51250000000005</v>
      </c>
      <c r="L66" s="95"/>
      <c r="M66" s="95">
        <f t="shared" si="11"/>
        <v>112.9025</v>
      </c>
      <c r="N66" s="64">
        <f t="shared" si="1"/>
        <v>0</v>
      </c>
      <c r="O66" s="64"/>
      <c r="P66" s="95">
        <f t="shared" si="12"/>
        <v>0</v>
      </c>
      <c r="Q66" s="64"/>
      <c r="R66" s="95">
        <f t="shared" si="13"/>
        <v>112.9025</v>
      </c>
      <c r="S66" s="64"/>
      <c r="T66" s="101"/>
    </row>
    <row r="67" spans="1:20" x14ac:dyDescent="0.2">
      <c r="A67" s="360">
        <v>43</v>
      </c>
      <c r="B67" s="231">
        <v>38</v>
      </c>
      <c r="C67" s="133" t="s">
        <v>678</v>
      </c>
      <c r="D67" s="135">
        <v>45777</v>
      </c>
      <c r="E67" s="139" t="s">
        <v>588</v>
      </c>
      <c r="F67" s="140" t="s">
        <v>595</v>
      </c>
      <c r="G67" s="141">
        <v>77465071491</v>
      </c>
      <c r="H67" s="74"/>
      <c r="I67" s="74">
        <v>15.93</v>
      </c>
      <c r="J67" s="113"/>
      <c r="K67" s="100">
        <f t="shared" ref="K61:K76" si="14">H67+I67+J67+M67</f>
        <v>18.000900000000001</v>
      </c>
      <c r="L67" s="95"/>
      <c r="M67" s="95">
        <f t="shared" si="11"/>
        <v>2.0709</v>
      </c>
      <c r="N67" s="64">
        <f t="shared" si="1"/>
        <v>0</v>
      </c>
      <c r="O67" s="64"/>
      <c r="P67" s="95">
        <f t="shared" si="12"/>
        <v>2.0709</v>
      </c>
      <c r="Q67" s="64"/>
      <c r="R67" s="95">
        <f t="shared" si="13"/>
        <v>0</v>
      </c>
      <c r="S67" s="64"/>
      <c r="T67" s="101"/>
    </row>
    <row r="68" spans="1:20" x14ac:dyDescent="0.2">
      <c r="A68" s="185">
        <v>44</v>
      </c>
      <c r="B68" s="230">
        <v>39</v>
      </c>
      <c r="C68" s="133" t="s">
        <v>679</v>
      </c>
      <c r="D68" s="135">
        <v>45777</v>
      </c>
      <c r="E68" s="2" t="s">
        <v>613</v>
      </c>
      <c r="F68" s="98" t="s">
        <v>614</v>
      </c>
      <c r="G68" s="99">
        <v>81793146560</v>
      </c>
      <c r="H68" s="74"/>
      <c r="I68" s="74"/>
      <c r="J68" s="113">
        <v>29.21</v>
      </c>
      <c r="K68" s="100">
        <f>H68+I68+J68+M68</f>
        <v>36.512500000000003</v>
      </c>
      <c r="L68" s="95"/>
      <c r="M68" s="95">
        <f t="shared" si="11"/>
        <v>7.3025000000000002</v>
      </c>
      <c r="N68" s="64">
        <f t="shared" si="1"/>
        <v>0</v>
      </c>
      <c r="O68" s="64"/>
      <c r="P68" s="95">
        <f t="shared" si="12"/>
        <v>0</v>
      </c>
      <c r="Q68" s="64"/>
      <c r="R68" s="95">
        <f t="shared" si="13"/>
        <v>7.3025000000000002</v>
      </c>
      <c r="S68" s="64"/>
    </row>
    <row r="69" spans="1:20" x14ac:dyDescent="0.2">
      <c r="A69" s="360">
        <v>45</v>
      </c>
      <c r="B69" s="231">
        <v>40</v>
      </c>
      <c r="C69" s="133" t="s">
        <v>680</v>
      </c>
      <c r="D69" s="135">
        <v>45777</v>
      </c>
      <c r="E69" s="2" t="s">
        <v>589</v>
      </c>
      <c r="F69" s="2" t="s">
        <v>594</v>
      </c>
      <c r="G69" s="99">
        <v>26618043061</v>
      </c>
      <c r="H69" s="74"/>
      <c r="I69" s="74"/>
      <c r="J69" s="113">
        <v>50</v>
      </c>
      <c r="K69" s="100">
        <f t="shared" si="14"/>
        <v>62.5</v>
      </c>
      <c r="L69" s="95"/>
      <c r="M69" s="95">
        <f t="shared" si="11"/>
        <v>12.5</v>
      </c>
      <c r="N69" s="64">
        <f t="shared" si="1"/>
        <v>0</v>
      </c>
      <c r="O69" s="64"/>
      <c r="P69" s="95">
        <f t="shared" si="12"/>
        <v>0</v>
      </c>
      <c r="Q69" s="64"/>
      <c r="R69" s="95">
        <f t="shared" si="13"/>
        <v>12.5</v>
      </c>
      <c r="S69" s="64"/>
    </row>
    <row r="70" spans="1:20" x14ac:dyDescent="0.2">
      <c r="A70" s="185">
        <v>46</v>
      </c>
      <c r="B70" s="230">
        <v>41</v>
      </c>
      <c r="C70" s="107" t="s">
        <v>681</v>
      </c>
      <c r="D70" s="39">
        <v>45778</v>
      </c>
      <c r="E70" s="2" t="s">
        <v>632</v>
      </c>
      <c r="F70" s="2" t="s">
        <v>633</v>
      </c>
      <c r="G70" s="150">
        <v>68419124305</v>
      </c>
      <c r="H70" s="74"/>
      <c r="I70" s="74"/>
      <c r="J70" s="113"/>
      <c r="K70" s="100">
        <v>10.62</v>
      </c>
      <c r="L70" s="95"/>
      <c r="M70" s="95">
        <f t="shared" si="11"/>
        <v>0</v>
      </c>
      <c r="N70" s="64">
        <f t="shared" si="1"/>
        <v>0</v>
      </c>
      <c r="O70" s="64"/>
      <c r="P70" s="95">
        <f t="shared" si="12"/>
        <v>0</v>
      </c>
      <c r="Q70" s="64"/>
      <c r="R70" s="95">
        <f t="shared" si="13"/>
        <v>0</v>
      </c>
      <c r="S70" s="64"/>
    </row>
    <row r="71" spans="1:20" x14ac:dyDescent="0.2">
      <c r="A71" s="360">
        <v>48</v>
      </c>
      <c r="B71" s="231">
        <v>42</v>
      </c>
      <c r="C71" s="133" t="s">
        <v>683</v>
      </c>
      <c r="D71" s="135">
        <v>45784</v>
      </c>
      <c r="E71" s="2" t="s">
        <v>684</v>
      </c>
      <c r="F71" s="98" t="s">
        <v>685</v>
      </c>
      <c r="G71" s="99">
        <v>2483519613</v>
      </c>
      <c r="H71" s="74"/>
      <c r="I71" s="74"/>
      <c r="J71" s="113">
        <v>2500</v>
      </c>
      <c r="K71" s="100">
        <f t="shared" si="14"/>
        <v>3125</v>
      </c>
      <c r="L71" s="95"/>
      <c r="M71" s="95">
        <f t="shared" si="11"/>
        <v>625</v>
      </c>
      <c r="N71" s="64">
        <f t="shared" si="1"/>
        <v>0</v>
      </c>
      <c r="O71" s="64"/>
      <c r="P71" s="95">
        <f t="shared" si="12"/>
        <v>0</v>
      </c>
      <c r="Q71" s="64"/>
      <c r="R71" s="95">
        <f t="shared" si="13"/>
        <v>625</v>
      </c>
      <c r="S71" s="64"/>
    </row>
    <row r="72" spans="1:20" x14ac:dyDescent="0.2">
      <c r="A72" s="185">
        <v>49</v>
      </c>
      <c r="B72" s="230">
        <v>43</v>
      </c>
      <c r="C72" s="133" t="s">
        <v>688</v>
      </c>
      <c r="D72" s="135">
        <v>45784</v>
      </c>
      <c r="E72" s="2" t="s">
        <v>686</v>
      </c>
      <c r="F72" s="98" t="s">
        <v>687</v>
      </c>
      <c r="G72" s="99">
        <v>26187994862</v>
      </c>
      <c r="H72" s="74"/>
      <c r="I72" s="74"/>
      <c r="J72" s="113"/>
      <c r="K72" s="100">
        <v>1651.37</v>
      </c>
      <c r="L72" s="95"/>
      <c r="M72" s="95">
        <f t="shared" si="11"/>
        <v>0</v>
      </c>
      <c r="N72" s="64">
        <f t="shared" si="1"/>
        <v>0</v>
      </c>
      <c r="O72" s="64"/>
      <c r="P72" s="95">
        <f t="shared" si="12"/>
        <v>0</v>
      </c>
      <c r="Q72" s="64"/>
      <c r="R72" s="95">
        <f t="shared" si="13"/>
        <v>0</v>
      </c>
      <c r="S72" s="64"/>
    </row>
    <row r="73" spans="1:20" x14ac:dyDescent="0.2">
      <c r="A73" s="360">
        <v>53</v>
      </c>
      <c r="B73" s="231">
        <v>44</v>
      </c>
      <c r="C73" s="133" t="s">
        <v>692</v>
      </c>
      <c r="D73" s="135">
        <v>45808</v>
      </c>
      <c r="E73" s="2" t="s">
        <v>613</v>
      </c>
      <c r="F73" s="98" t="s">
        <v>614</v>
      </c>
      <c r="G73" s="99">
        <v>81793146560</v>
      </c>
      <c r="H73" s="74"/>
      <c r="I73" s="74"/>
      <c r="J73" s="113">
        <v>29.68</v>
      </c>
      <c r="K73" s="100">
        <f t="shared" si="14"/>
        <v>37.1</v>
      </c>
      <c r="L73" s="95"/>
      <c r="M73" s="95">
        <f t="shared" si="11"/>
        <v>7.42</v>
      </c>
      <c r="N73" s="64">
        <f t="shared" si="1"/>
        <v>0</v>
      </c>
      <c r="O73" s="64"/>
      <c r="P73" s="95">
        <f t="shared" si="12"/>
        <v>0</v>
      </c>
      <c r="Q73" s="64"/>
      <c r="R73" s="95">
        <f t="shared" si="13"/>
        <v>7.42</v>
      </c>
      <c r="S73" s="64"/>
    </row>
    <row r="74" spans="1:20" x14ac:dyDescent="0.2">
      <c r="A74" s="185">
        <v>54</v>
      </c>
      <c r="B74" s="230">
        <v>45</v>
      </c>
      <c r="C74" s="133" t="s">
        <v>693</v>
      </c>
      <c r="D74" s="135">
        <v>45808</v>
      </c>
      <c r="E74" s="2" t="s">
        <v>588</v>
      </c>
      <c r="F74" s="98" t="s">
        <v>595</v>
      </c>
      <c r="G74" s="99">
        <v>77465071491</v>
      </c>
      <c r="H74" s="74"/>
      <c r="I74" s="74">
        <v>15.93</v>
      </c>
      <c r="J74" s="113"/>
      <c r="K74" s="100">
        <f t="shared" si="14"/>
        <v>18.000900000000001</v>
      </c>
      <c r="L74" s="95"/>
      <c r="M74" s="95">
        <f t="shared" si="11"/>
        <v>2.0709</v>
      </c>
      <c r="N74" s="64">
        <f t="shared" si="1"/>
        <v>0</v>
      </c>
      <c r="O74" s="64"/>
      <c r="P74" s="95">
        <f t="shared" si="12"/>
        <v>2.0709</v>
      </c>
      <c r="Q74" s="64"/>
      <c r="R74" s="95">
        <f t="shared" si="13"/>
        <v>0</v>
      </c>
      <c r="S74" s="64"/>
    </row>
    <row r="75" spans="1:20" x14ac:dyDescent="0.2">
      <c r="A75" s="360">
        <v>55</v>
      </c>
      <c r="B75" s="231">
        <v>46</v>
      </c>
      <c r="C75" s="133" t="s">
        <v>695</v>
      </c>
      <c r="D75" s="135">
        <v>45808</v>
      </c>
      <c r="E75" s="2" t="s">
        <v>694</v>
      </c>
      <c r="F75" s="98" t="s">
        <v>607</v>
      </c>
      <c r="G75" s="99">
        <v>71631587007</v>
      </c>
      <c r="H75" s="74"/>
      <c r="I75" s="74">
        <v>6.64</v>
      </c>
      <c r="J75" s="113"/>
      <c r="K75" s="100">
        <f t="shared" si="14"/>
        <v>7.5031999999999996</v>
      </c>
      <c r="L75" s="95"/>
      <c r="M75" s="95">
        <f>SUM(N75:S75)</f>
        <v>0.86319999999999997</v>
      </c>
      <c r="N75" s="64">
        <f t="shared" si="1"/>
        <v>0</v>
      </c>
      <c r="O75" s="64"/>
      <c r="P75" s="95">
        <f>+I75*0.13</f>
        <v>0.86319999999999997</v>
      </c>
      <c r="Q75" s="64"/>
      <c r="R75" s="95">
        <f>J75*0.25</f>
        <v>0</v>
      </c>
      <c r="S75" s="64"/>
    </row>
    <row r="76" spans="1:20" x14ac:dyDescent="0.2">
      <c r="A76" s="185">
        <v>56</v>
      </c>
      <c r="B76" s="230">
        <v>47</v>
      </c>
      <c r="C76" s="133" t="s">
        <v>696</v>
      </c>
      <c r="D76" s="135">
        <v>45808</v>
      </c>
      <c r="E76" s="2" t="s">
        <v>694</v>
      </c>
      <c r="F76" s="2"/>
      <c r="G76" s="99"/>
      <c r="H76" s="74"/>
      <c r="I76" s="74">
        <v>6.64</v>
      </c>
      <c r="J76" s="113"/>
      <c r="K76" s="100">
        <f t="shared" si="14"/>
        <v>7.5031999999999996</v>
      </c>
      <c r="L76" s="95"/>
      <c r="M76" s="95">
        <f t="shared" ref="M76:M96" si="15">SUM(N76:S76)</f>
        <v>0.86319999999999997</v>
      </c>
      <c r="N76" s="64">
        <f t="shared" si="1"/>
        <v>0</v>
      </c>
      <c r="O76" s="64"/>
      <c r="P76" s="95">
        <f t="shared" ref="P76:P96" si="16">+I76*0.13</f>
        <v>0.86319999999999997</v>
      </c>
      <c r="Q76" s="64"/>
      <c r="R76" s="95">
        <f t="shared" ref="R76:R96" si="17">J76*0.25</f>
        <v>0</v>
      </c>
      <c r="S76" s="64"/>
    </row>
    <row r="77" spans="1:20" x14ac:dyDescent="0.2">
      <c r="A77" s="360">
        <v>57</v>
      </c>
      <c r="B77" s="231">
        <v>48</v>
      </c>
      <c r="C77" s="133" t="s">
        <v>697</v>
      </c>
      <c r="D77" s="135">
        <v>45808</v>
      </c>
      <c r="E77" s="2" t="s">
        <v>694</v>
      </c>
      <c r="F77" s="98"/>
      <c r="G77" s="99"/>
      <c r="H77" s="74"/>
      <c r="I77" s="74">
        <v>6.64</v>
      </c>
      <c r="J77" s="113"/>
      <c r="K77" s="100">
        <f t="shared" ref="K76:K96" si="18">H77+I77+J77+M77</f>
        <v>7.5031999999999996</v>
      </c>
      <c r="L77" s="95"/>
      <c r="M77" s="95">
        <f t="shared" si="15"/>
        <v>0.86319999999999997</v>
      </c>
      <c r="N77" s="64">
        <f t="shared" si="1"/>
        <v>0</v>
      </c>
      <c r="O77" s="64"/>
      <c r="P77" s="95">
        <f t="shared" si="16"/>
        <v>0.86319999999999997</v>
      </c>
      <c r="Q77" s="64"/>
      <c r="R77" s="95">
        <f t="shared" si="17"/>
        <v>0</v>
      </c>
      <c r="S77" s="64"/>
    </row>
    <row r="78" spans="1:20" x14ac:dyDescent="0.2">
      <c r="A78" s="185">
        <v>58</v>
      </c>
      <c r="B78" s="230">
        <v>49</v>
      </c>
      <c r="C78" s="133" t="s">
        <v>611</v>
      </c>
      <c r="D78" s="135">
        <v>45808</v>
      </c>
      <c r="E78" s="2" t="s">
        <v>608</v>
      </c>
      <c r="F78" s="98" t="s">
        <v>609</v>
      </c>
      <c r="G78" s="99">
        <v>43965974818</v>
      </c>
      <c r="H78" s="74"/>
      <c r="I78" s="74">
        <v>3.67</v>
      </c>
      <c r="J78" s="113"/>
      <c r="K78" s="100">
        <f t="shared" si="18"/>
        <v>4.1471</v>
      </c>
      <c r="L78" s="95"/>
      <c r="M78" s="95">
        <f t="shared" si="15"/>
        <v>0.47710000000000002</v>
      </c>
      <c r="N78" s="64">
        <f t="shared" si="1"/>
        <v>0</v>
      </c>
      <c r="O78" s="64"/>
      <c r="P78" s="95">
        <f t="shared" si="16"/>
        <v>0.47710000000000002</v>
      </c>
      <c r="Q78" s="64"/>
      <c r="R78" s="95">
        <f t="shared" si="17"/>
        <v>0</v>
      </c>
      <c r="S78" s="64"/>
    </row>
    <row r="79" spans="1:20" x14ac:dyDescent="0.2">
      <c r="A79" s="360">
        <v>59</v>
      </c>
      <c r="B79" s="231">
        <v>50</v>
      </c>
      <c r="C79" s="133" t="s">
        <v>615</v>
      </c>
      <c r="D79" s="135">
        <v>45808</v>
      </c>
      <c r="E79" s="2" t="s">
        <v>608</v>
      </c>
      <c r="F79" s="98" t="s">
        <v>609</v>
      </c>
      <c r="G79" s="99">
        <v>43965974818</v>
      </c>
      <c r="H79" s="74"/>
      <c r="I79" s="74">
        <v>9.74</v>
      </c>
      <c r="J79" s="113"/>
      <c r="K79" s="100">
        <f t="shared" si="18"/>
        <v>11.0062</v>
      </c>
      <c r="L79" s="95"/>
      <c r="M79" s="95">
        <f t="shared" si="15"/>
        <v>1.2662</v>
      </c>
      <c r="N79" s="64">
        <f t="shared" si="1"/>
        <v>0</v>
      </c>
      <c r="O79" s="64"/>
      <c r="P79" s="95">
        <f t="shared" si="16"/>
        <v>1.2662</v>
      </c>
      <c r="Q79" s="64"/>
      <c r="R79" s="95">
        <f t="shared" si="17"/>
        <v>0</v>
      </c>
      <c r="S79" s="64"/>
    </row>
    <row r="80" spans="1:20" x14ac:dyDescent="0.2">
      <c r="A80" s="185">
        <v>60</v>
      </c>
      <c r="B80" s="230">
        <v>51</v>
      </c>
      <c r="C80" s="133" t="s">
        <v>612</v>
      </c>
      <c r="D80" s="135">
        <v>45808</v>
      </c>
      <c r="E80" s="2" t="s">
        <v>608</v>
      </c>
      <c r="F80" s="98" t="s">
        <v>609</v>
      </c>
      <c r="G80" s="99">
        <v>43965974818</v>
      </c>
      <c r="H80" s="74"/>
      <c r="I80" s="74">
        <v>3.71</v>
      </c>
      <c r="J80" s="113"/>
      <c r="K80" s="100">
        <f t="shared" si="18"/>
        <v>4.1923000000000004</v>
      </c>
      <c r="L80" s="95"/>
      <c r="M80" s="95">
        <f t="shared" si="15"/>
        <v>0.48230000000000001</v>
      </c>
      <c r="N80" s="64">
        <f t="shared" si="1"/>
        <v>0</v>
      </c>
      <c r="O80" s="64"/>
      <c r="P80" s="95">
        <f t="shared" si="16"/>
        <v>0.48230000000000001</v>
      </c>
      <c r="Q80" s="64"/>
      <c r="R80" s="95">
        <f t="shared" si="17"/>
        <v>0</v>
      </c>
      <c r="S80" s="64"/>
    </row>
    <row r="81" spans="1:40" x14ac:dyDescent="0.2">
      <c r="A81" s="360">
        <v>61</v>
      </c>
      <c r="B81" s="231">
        <v>52</v>
      </c>
      <c r="C81" s="107" t="s">
        <v>610</v>
      </c>
      <c r="D81" s="135">
        <v>45808</v>
      </c>
      <c r="E81" s="2" t="s">
        <v>608</v>
      </c>
      <c r="F81" s="98" t="s">
        <v>609</v>
      </c>
      <c r="G81" s="99">
        <v>43965974818</v>
      </c>
      <c r="H81" s="74"/>
      <c r="I81" s="74">
        <v>3.02</v>
      </c>
      <c r="J81" s="113"/>
      <c r="K81" s="100">
        <f t="shared" si="18"/>
        <v>3.4125999999999999</v>
      </c>
      <c r="L81" s="95"/>
      <c r="M81" s="95">
        <f t="shared" si="15"/>
        <v>0.3926</v>
      </c>
      <c r="N81" s="64">
        <f t="shared" si="1"/>
        <v>0</v>
      </c>
      <c r="O81" s="64"/>
      <c r="P81" s="95">
        <f t="shared" si="16"/>
        <v>0.3926</v>
      </c>
      <c r="Q81" s="64"/>
      <c r="R81" s="95">
        <f t="shared" si="17"/>
        <v>0</v>
      </c>
      <c r="S81" s="64"/>
      <c r="W81" s="1"/>
      <c r="X81" s="43"/>
      <c r="Y81" s="165"/>
      <c r="AA81" s="166"/>
      <c r="AB81" s="167"/>
      <c r="AC81" s="168"/>
      <c r="AD81" s="168"/>
      <c r="AE81" s="169"/>
      <c r="AF81" s="170">
        <f>AC81+AD81+AE81+AH81</f>
        <v>0</v>
      </c>
      <c r="AG81" s="171"/>
      <c r="AH81" s="171">
        <f>SUM(AI81:AN81)</f>
        <v>0</v>
      </c>
      <c r="AI81" s="101"/>
      <c r="AJ81" s="101"/>
      <c r="AK81" s="171">
        <f>+AD81*0.13</f>
        <v>0</v>
      </c>
      <c r="AL81" s="101"/>
      <c r="AM81" s="171">
        <f>AE81*0.25</f>
        <v>0</v>
      </c>
      <c r="AN81" s="101"/>
    </row>
    <row r="82" spans="1:40" x14ac:dyDescent="0.2">
      <c r="A82" s="185">
        <v>62</v>
      </c>
      <c r="B82" s="230">
        <v>53</v>
      </c>
      <c r="C82" s="133" t="s">
        <v>698</v>
      </c>
      <c r="D82" s="135">
        <v>45808</v>
      </c>
      <c r="E82" s="2" t="s">
        <v>589</v>
      </c>
      <c r="F82" s="2" t="s">
        <v>594</v>
      </c>
      <c r="G82" s="99">
        <v>26618043061</v>
      </c>
      <c r="H82" s="74"/>
      <c r="I82" s="74"/>
      <c r="J82" s="113">
        <v>325</v>
      </c>
      <c r="K82" s="100">
        <f t="shared" si="18"/>
        <v>406.25</v>
      </c>
      <c r="L82" s="95"/>
      <c r="M82" s="95">
        <f t="shared" si="15"/>
        <v>81.25</v>
      </c>
      <c r="N82" s="64">
        <f t="shared" si="1"/>
        <v>0</v>
      </c>
      <c r="O82" s="64"/>
      <c r="P82" s="95">
        <f t="shared" si="16"/>
        <v>0</v>
      </c>
      <c r="Q82" s="64"/>
      <c r="R82" s="95">
        <f t="shared" si="17"/>
        <v>81.25</v>
      </c>
      <c r="S82" s="64"/>
      <c r="W82" s="1"/>
      <c r="AA82" s="166"/>
      <c r="AB82" s="111"/>
      <c r="AC82" s="168"/>
      <c r="AD82" s="168"/>
      <c r="AE82" s="169"/>
      <c r="AF82" s="170">
        <f>AC82+AD82+AE82+AH82</f>
        <v>0</v>
      </c>
      <c r="AG82" s="171"/>
      <c r="AH82" s="171">
        <f>SUM(AI82:AN82)</f>
        <v>0</v>
      </c>
      <c r="AI82" s="101"/>
      <c r="AJ82" s="101"/>
      <c r="AK82" s="171">
        <f>+AD82*0.13</f>
        <v>0</v>
      </c>
      <c r="AL82" s="101"/>
      <c r="AM82" s="171">
        <f>AE82*0.25</f>
        <v>0</v>
      </c>
      <c r="AN82" s="101"/>
    </row>
    <row r="83" spans="1:40" x14ac:dyDescent="0.2">
      <c r="A83" s="360">
        <v>63</v>
      </c>
      <c r="B83" s="231">
        <v>54</v>
      </c>
      <c r="C83" s="133" t="s">
        <v>699</v>
      </c>
      <c r="D83" s="135">
        <v>45809</v>
      </c>
      <c r="E83" s="2" t="s">
        <v>632</v>
      </c>
      <c r="F83" s="2" t="s">
        <v>633</v>
      </c>
      <c r="G83" s="150">
        <v>68419124305</v>
      </c>
      <c r="H83" s="74"/>
      <c r="I83" s="74"/>
      <c r="J83" s="113"/>
      <c r="K83" s="100">
        <v>10.62</v>
      </c>
      <c r="L83" s="95"/>
      <c r="M83" s="95">
        <f t="shared" si="15"/>
        <v>0</v>
      </c>
      <c r="N83" s="64">
        <f t="shared" si="1"/>
        <v>0</v>
      </c>
      <c r="O83" s="64"/>
      <c r="P83" s="95">
        <f t="shared" si="16"/>
        <v>0</v>
      </c>
      <c r="Q83" s="64"/>
      <c r="R83" s="95">
        <f t="shared" si="17"/>
        <v>0</v>
      </c>
      <c r="S83" s="64"/>
    </row>
    <row r="84" spans="1:40" x14ac:dyDescent="0.2">
      <c r="A84" s="185">
        <v>64</v>
      </c>
      <c r="B84" s="230">
        <v>55</v>
      </c>
      <c r="C84" s="133" t="s">
        <v>700</v>
      </c>
      <c r="D84" s="135">
        <v>45838</v>
      </c>
      <c r="E84" s="175" t="s">
        <v>628</v>
      </c>
      <c r="F84" s="176" t="s">
        <v>629</v>
      </c>
      <c r="G84" s="177">
        <v>93476448836</v>
      </c>
      <c r="H84" s="74"/>
      <c r="I84" s="74"/>
      <c r="J84" s="113"/>
      <c r="K84" s="100">
        <v>1126</v>
      </c>
      <c r="L84" s="95"/>
      <c r="M84" s="95">
        <f t="shared" si="15"/>
        <v>0</v>
      </c>
      <c r="N84" s="64">
        <f t="shared" si="1"/>
        <v>0</v>
      </c>
      <c r="O84" s="64"/>
      <c r="P84" s="95">
        <f t="shared" si="16"/>
        <v>0</v>
      </c>
      <c r="Q84" s="64"/>
      <c r="R84" s="95">
        <f t="shared" si="17"/>
        <v>0</v>
      </c>
      <c r="S84" s="64"/>
    </row>
    <row r="85" spans="1:40" x14ac:dyDescent="0.2">
      <c r="A85" s="358"/>
      <c r="B85" s="231"/>
      <c r="C85" s="133"/>
      <c r="D85" s="135"/>
      <c r="E85" s="2"/>
      <c r="F85" s="98"/>
      <c r="G85" s="99"/>
      <c r="H85" s="74"/>
      <c r="I85" s="74"/>
      <c r="J85" s="113"/>
      <c r="K85" s="100">
        <f t="shared" si="18"/>
        <v>0</v>
      </c>
      <c r="L85" s="95"/>
      <c r="M85" s="95">
        <f t="shared" si="15"/>
        <v>0</v>
      </c>
      <c r="N85" s="64">
        <f t="shared" si="1"/>
        <v>0</v>
      </c>
      <c r="O85" s="64"/>
      <c r="P85" s="95">
        <f t="shared" si="16"/>
        <v>0</v>
      </c>
      <c r="Q85" s="64"/>
      <c r="R85" s="95">
        <f t="shared" si="17"/>
        <v>0</v>
      </c>
      <c r="S85" s="64"/>
    </row>
    <row r="86" spans="1:40" x14ac:dyDescent="0.2">
      <c r="A86" s="211"/>
      <c r="B86" s="230"/>
      <c r="C86" s="133"/>
      <c r="D86" s="135"/>
      <c r="E86" s="2"/>
      <c r="F86" s="98"/>
      <c r="G86" s="99"/>
      <c r="H86" s="74"/>
      <c r="I86" s="74"/>
      <c r="J86" s="113"/>
      <c r="K86" s="100">
        <f t="shared" si="18"/>
        <v>0</v>
      </c>
      <c r="L86" s="95"/>
      <c r="M86" s="95">
        <f t="shared" si="15"/>
        <v>0</v>
      </c>
      <c r="N86" s="64">
        <f t="shared" si="1"/>
        <v>0</v>
      </c>
      <c r="O86" s="64"/>
      <c r="P86" s="95">
        <f t="shared" si="16"/>
        <v>0</v>
      </c>
      <c r="Q86" s="64"/>
      <c r="R86" s="95">
        <f t="shared" si="17"/>
        <v>0</v>
      </c>
      <c r="S86" s="64"/>
    </row>
    <row r="87" spans="1:40" x14ac:dyDescent="0.2">
      <c r="A87" s="358"/>
      <c r="B87" s="231"/>
      <c r="C87" s="133"/>
      <c r="D87" s="135"/>
      <c r="E87" s="139"/>
      <c r="F87" s="140"/>
      <c r="G87" s="141"/>
      <c r="H87" s="74"/>
      <c r="I87" s="74"/>
      <c r="J87" s="113"/>
      <c r="K87" s="100">
        <f t="shared" si="18"/>
        <v>0</v>
      </c>
      <c r="L87" s="95"/>
      <c r="M87" s="95">
        <f t="shared" si="15"/>
        <v>0</v>
      </c>
      <c r="N87" s="64">
        <f t="shared" si="1"/>
        <v>0</v>
      </c>
      <c r="O87" s="64"/>
      <c r="P87" s="95">
        <f t="shared" si="16"/>
        <v>0</v>
      </c>
      <c r="Q87" s="64"/>
      <c r="R87" s="95">
        <f t="shared" si="17"/>
        <v>0</v>
      </c>
      <c r="S87" s="64"/>
    </row>
    <row r="88" spans="1:40" x14ac:dyDescent="0.2">
      <c r="A88" s="211"/>
      <c r="B88" s="230"/>
      <c r="C88" s="133"/>
      <c r="D88" s="135"/>
      <c r="E88" s="139"/>
      <c r="F88" s="164"/>
      <c r="G88" s="141"/>
      <c r="H88" s="74"/>
      <c r="I88" s="74"/>
      <c r="J88" s="113"/>
      <c r="K88" s="100">
        <f t="shared" si="18"/>
        <v>0</v>
      </c>
      <c r="L88" s="95"/>
      <c r="M88" s="95">
        <f t="shared" si="15"/>
        <v>0</v>
      </c>
      <c r="N88" s="64">
        <f t="shared" si="1"/>
        <v>0</v>
      </c>
      <c r="O88" s="64"/>
      <c r="P88" s="95">
        <f t="shared" si="16"/>
        <v>0</v>
      </c>
      <c r="Q88" s="64"/>
      <c r="R88" s="95">
        <f t="shared" si="17"/>
        <v>0</v>
      </c>
      <c r="S88" s="64"/>
    </row>
    <row r="89" spans="1:40" x14ac:dyDescent="0.2">
      <c r="A89" s="358"/>
      <c r="B89" s="231"/>
      <c r="C89" s="133"/>
      <c r="D89" s="135"/>
      <c r="E89" s="2"/>
      <c r="F89" s="2"/>
      <c r="G89" s="99"/>
      <c r="H89" s="74"/>
      <c r="I89" s="74"/>
      <c r="J89" s="113"/>
      <c r="K89" s="100">
        <f t="shared" si="18"/>
        <v>0</v>
      </c>
      <c r="L89" s="95"/>
      <c r="M89" s="95">
        <f t="shared" si="15"/>
        <v>0</v>
      </c>
      <c r="N89" s="64">
        <f t="shared" si="1"/>
        <v>0</v>
      </c>
      <c r="O89" s="64"/>
      <c r="P89" s="95">
        <f t="shared" si="16"/>
        <v>0</v>
      </c>
      <c r="Q89" s="64"/>
      <c r="R89" s="95">
        <f t="shared" si="17"/>
        <v>0</v>
      </c>
      <c r="S89" s="64"/>
    </row>
    <row r="90" spans="1:40" x14ac:dyDescent="0.2">
      <c r="A90" s="211"/>
      <c r="B90" s="230"/>
      <c r="C90" s="133"/>
      <c r="D90" s="135"/>
      <c r="E90" s="2"/>
      <c r="F90" s="98"/>
      <c r="G90" s="99"/>
      <c r="H90" s="74"/>
      <c r="I90" s="74"/>
      <c r="J90" s="113"/>
      <c r="K90" s="100">
        <f t="shared" si="18"/>
        <v>0</v>
      </c>
      <c r="L90" s="95"/>
      <c r="M90" s="95">
        <f t="shared" si="15"/>
        <v>0</v>
      </c>
      <c r="N90" s="64">
        <f t="shared" si="1"/>
        <v>0</v>
      </c>
      <c r="O90" s="64"/>
      <c r="P90" s="95">
        <f t="shared" si="16"/>
        <v>0</v>
      </c>
      <c r="Q90" s="64"/>
      <c r="R90" s="95">
        <f t="shared" si="17"/>
        <v>0</v>
      </c>
      <c r="S90" s="64"/>
    </row>
    <row r="91" spans="1:40" x14ac:dyDescent="0.2">
      <c r="A91" s="358"/>
      <c r="B91" s="138"/>
      <c r="C91" s="133"/>
      <c r="D91" s="135"/>
      <c r="E91" s="2"/>
      <c r="F91" s="98"/>
      <c r="G91" s="99"/>
      <c r="H91" s="74"/>
      <c r="I91" s="74"/>
      <c r="J91" s="113"/>
      <c r="K91" s="100">
        <f t="shared" si="18"/>
        <v>0</v>
      </c>
      <c r="L91" s="95"/>
      <c r="M91" s="95">
        <f t="shared" si="15"/>
        <v>0</v>
      </c>
      <c r="N91" s="64">
        <f t="shared" si="1"/>
        <v>0</v>
      </c>
      <c r="O91" s="64"/>
      <c r="P91" s="95">
        <f t="shared" si="16"/>
        <v>0</v>
      </c>
      <c r="Q91" s="64"/>
      <c r="R91" s="95">
        <f t="shared" si="17"/>
        <v>0</v>
      </c>
      <c r="S91" s="64"/>
    </row>
    <row r="92" spans="1:40" x14ac:dyDescent="0.2">
      <c r="A92" s="358"/>
      <c r="B92" s="138"/>
      <c r="C92" s="133"/>
      <c r="D92" s="135"/>
      <c r="E92" s="2"/>
      <c r="F92" s="98"/>
      <c r="G92" s="99"/>
      <c r="H92" s="74"/>
      <c r="I92" s="74"/>
      <c r="J92" s="113"/>
      <c r="K92" s="100">
        <f t="shared" si="18"/>
        <v>0</v>
      </c>
      <c r="L92" s="95"/>
      <c r="M92" s="95">
        <f t="shared" si="15"/>
        <v>0</v>
      </c>
      <c r="N92" s="64">
        <f t="shared" si="1"/>
        <v>0</v>
      </c>
      <c r="O92" s="64"/>
      <c r="P92" s="95">
        <f t="shared" si="16"/>
        <v>0</v>
      </c>
      <c r="Q92" s="64"/>
      <c r="R92" s="95">
        <f t="shared" si="17"/>
        <v>0</v>
      </c>
      <c r="S92" s="64"/>
    </row>
    <row r="93" spans="1:40" x14ac:dyDescent="0.2">
      <c r="A93" s="358"/>
      <c r="B93" s="138"/>
      <c r="C93" s="133"/>
      <c r="D93" s="135"/>
      <c r="E93" s="2"/>
      <c r="F93" s="98"/>
      <c r="G93" s="99"/>
      <c r="H93" s="74"/>
      <c r="I93" s="74"/>
      <c r="J93" s="113"/>
      <c r="K93" s="100">
        <f t="shared" si="18"/>
        <v>0</v>
      </c>
      <c r="L93" s="95"/>
      <c r="M93" s="95">
        <f t="shared" si="15"/>
        <v>0</v>
      </c>
      <c r="N93" s="64">
        <f t="shared" ref="N93:N156" si="19">H93*0.05</f>
        <v>0</v>
      </c>
      <c r="O93" s="64"/>
      <c r="P93" s="95">
        <f t="shared" si="16"/>
        <v>0</v>
      </c>
      <c r="Q93" s="64"/>
      <c r="R93" s="95">
        <f t="shared" si="17"/>
        <v>0</v>
      </c>
      <c r="S93" s="64"/>
    </row>
    <row r="94" spans="1:40" x14ac:dyDescent="0.2">
      <c r="A94" s="358"/>
      <c r="B94" s="138"/>
      <c r="C94" s="133"/>
      <c r="D94" s="135"/>
      <c r="E94" s="2"/>
      <c r="F94" s="140"/>
      <c r="G94" s="141"/>
      <c r="H94" s="74"/>
      <c r="I94" s="74"/>
      <c r="J94" s="113"/>
      <c r="K94" s="100">
        <f t="shared" si="18"/>
        <v>0</v>
      </c>
      <c r="L94" s="95"/>
      <c r="M94" s="95">
        <f t="shared" si="15"/>
        <v>0</v>
      </c>
      <c r="N94" s="64">
        <f t="shared" si="19"/>
        <v>0</v>
      </c>
      <c r="O94" s="64"/>
      <c r="P94" s="95">
        <f t="shared" si="16"/>
        <v>0</v>
      </c>
      <c r="Q94" s="64"/>
      <c r="R94" s="95">
        <f t="shared" si="17"/>
        <v>0</v>
      </c>
      <c r="S94" s="64"/>
    </row>
    <row r="95" spans="1:40" x14ac:dyDescent="0.2">
      <c r="A95" s="358"/>
      <c r="B95" s="138"/>
      <c r="C95" s="133"/>
      <c r="D95" s="135"/>
      <c r="E95" s="2"/>
      <c r="F95" s="98"/>
      <c r="G95" s="99"/>
      <c r="H95" s="74"/>
      <c r="I95" s="74"/>
      <c r="J95" s="113"/>
      <c r="K95" s="100">
        <f>H95+I95+J95+M95</f>
        <v>0</v>
      </c>
      <c r="L95" s="95"/>
      <c r="M95" s="95">
        <f>SUM(N95:S95)</f>
        <v>0</v>
      </c>
      <c r="N95" s="64">
        <f t="shared" si="19"/>
        <v>0</v>
      </c>
      <c r="O95" s="64"/>
      <c r="P95" s="95">
        <f>+I95*0.13</f>
        <v>0</v>
      </c>
      <c r="Q95" s="64"/>
      <c r="R95" s="95">
        <f>J95*0.25</f>
        <v>0</v>
      </c>
      <c r="S95" s="64"/>
    </row>
    <row r="96" spans="1:40" x14ac:dyDescent="0.2">
      <c r="A96" s="358"/>
      <c r="B96" s="138"/>
      <c r="C96" s="133"/>
      <c r="D96" s="135"/>
      <c r="E96" s="2"/>
      <c r="F96" s="98"/>
      <c r="G96" s="99"/>
      <c r="H96" s="74"/>
      <c r="I96" s="74"/>
      <c r="J96" s="113"/>
      <c r="K96" s="100">
        <f t="shared" si="18"/>
        <v>0</v>
      </c>
      <c r="L96" s="95"/>
      <c r="M96" s="95">
        <f t="shared" si="15"/>
        <v>0</v>
      </c>
      <c r="N96" s="64">
        <f t="shared" si="19"/>
        <v>0</v>
      </c>
      <c r="O96" s="64"/>
      <c r="P96" s="95">
        <f t="shared" si="16"/>
        <v>0</v>
      </c>
      <c r="Q96" s="64"/>
      <c r="R96" s="95">
        <f t="shared" si="17"/>
        <v>0</v>
      </c>
      <c r="S96" s="64"/>
    </row>
    <row r="97" spans="1:19" x14ac:dyDescent="0.2">
      <c r="A97" s="358"/>
      <c r="B97" s="138"/>
      <c r="C97" s="133"/>
      <c r="D97" s="135"/>
      <c r="E97" s="2"/>
      <c r="F97" s="98"/>
      <c r="G97" s="99"/>
      <c r="H97" s="74"/>
      <c r="I97" s="74"/>
      <c r="J97" s="113"/>
      <c r="K97" s="100">
        <f>H97+I97+J97+M97</f>
        <v>0</v>
      </c>
      <c r="L97" s="95"/>
      <c r="M97" s="95">
        <f>SUM(N97:S97)</f>
        <v>0</v>
      </c>
      <c r="N97" s="64">
        <f t="shared" si="19"/>
        <v>0</v>
      </c>
      <c r="O97" s="64"/>
      <c r="P97" s="95">
        <f>+I97*0.13</f>
        <v>0</v>
      </c>
      <c r="Q97" s="64"/>
      <c r="R97" s="95">
        <f>J97*0.25</f>
        <v>0</v>
      </c>
      <c r="S97" s="64"/>
    </row>
    <row r="98" spans="1:19" x14ac:dyDescent="0.2">
      <c r="A98" s="358"/>
      <c r="B98" s="138"/>
      <c r="C98" s="133"/>
      <c r="D98" s="135"/>
      <c r="E98" s="2"/>
      <c r="F98" s="98"/>
      <c r="G98" s="99"/>
      <c r="H98" s="74"/>
      <c r="I98" s="74"/>
      <c r="J98" s="113"/>
      <c r="K98" s="100">
        <f>H98+I98+J98+M98</f>
        <v>0</v>
      </c>
      <c r="L98" s="95"/>
      <c r="M98" s="95">
        <f>SUM(N98:S98)</f>
        <v>0</v>
      </c>
      <c r="N98" s="64">
        <f t="shared" si="19"/>
        <v>0</v>
      </c>
      <c r="O98" s="64"/>
      <c r="P98" s="95">
        <f>+I98*0.13</f>
        <v>0</v>
      </c>
      <c r="Q98" s="64"/>
      <c r="R98" s="95">
        <f>J98*0.25</f>
        <v>0</v>
      </c>
      <c r="S98" s="64"/>
    </row>
    <row r="99" spans="1:19" x14ac:dyDescent="0.2">
      <c r="A99" s="358"/>
      <c r="B99" s="138"/>
      <c r="C99" s="133"/>
      <c r="D99" s="135"/>
      <c r="E99" s="2"/>
      <c r="F99" s="98"/>
      <c r="G99" s="99"/>
      <c r="H99" s="74"/>
      <c r="I99" s="74"/>
      <c r="J99" s="113"/>
      <c r="K99" s="100">
        <f>H99+I99+J99+M99</f>
        <v>0</v>
      </c>
      <c r="L99" s="95"/>
      <c r="M99" s="95">
        <f>SUM(N99:S99)</f>
        <v>0</v>
      </c>
      <c r="N99" s="64">
        <f t="shared" si="19"/>
        <v>0</v>
      </c>
      <c r="O99" s="64"/>
      <c r="P99" s="95">
        <f>+I99*0.13</f>
        <v>0</v>
      </c>
      <c r="Q99" s="64"/>
      <c r="R99" s="95">
        <f>J99*0.25</f>
        <v>0</v>
      </c>
      <c r="S99" s="64"/>
    </row>
    <row r="100" spans="1:19" x14ac:dyDescent="0.2">
      <c r="A100" s="358"/>
      <c r="B100" s="138"/>
      <c r="C100" s="133"/>
      <c r="D100" s="135"/>
      <c r="E100" s="2"/>
      <c r="F100" s="98"/>
      <c r="G100" s="99"/>
      <c r="H100" s="74"/>
      <c r="I100" s="74"/>
      <c r="J100" s="113"/>
      <c r="K100" s="100">
        <f>H100+I100+J100+M100</f>
        <v>0</v>
      </c>
      <c r="L100" s="95"/>
      <c r="M100" s="95">
        <f>SUM(N100:S100)</f>
        <v>0</v>
      </c>
      <c r="N100" s="64">
        <f t="shared" si="19"/>
        <v>0</v>
      </c>
      <c r="O100" s="64"/>
      <c r="P100" s="95">
        <f>+I100*0.13</f>
        <v>0</v>
      </c>
      <c r="Q100" s="64"/>
      <c r="R100" s="95">
        <f>J100*0.25</f>
        <v>0</v>
      </c>
      <c r="S100" s="64"/>
    </row>
    <row r="101" spans="1:19" x14ac:dyDescent="0.2">
      <c r="A101" s="358"/>
      <c r="B101" s="138"/>
      <c r="C101" s="133"/>
      <c r="D101" s="135"/>
      <c r="E101" s="139"/>
      <c r="F101" s="140"/>
      <c r="G101" s="141"/>
      <c r="H101" s="74"/>
      <c r="I101" s="74"/>
      <c r="J101" s="113"/>
      <c r="K101" s="100">
        <f>H101+I101+J101+M101</f>
        <v>0</v>
      </c>
      <c r="L101" s="95"/>
      <c r="M101" s="95">
        <f>SUM(N101:S101)</f>
        <v>0</v>
      </c>
      <c r="N101" s="64">
        <f t="shared" si="19"/>
        <v>0</v>
      </c>
      <c r="O101" s="64"/>
      <c r="P101" s="95">
        <f>+I101*0.13</f>
        <v>0</v>
      </c>
      <c r="Q101" s="64"/>
      <c r="R101" s="95">
        <f>J101*0.25</f>
        <v>0</v>
      </c>
      <c r="S101" s="64"/>
    </row>
    <row r="102" spans="1:19" x14ac:dyDescent="0.2">
      <c r="A102" s="358"/>
      <c r="B102" s="230"/>
      <c r="C102" s="107"/>
      <c r="D102" s="39"/>
      <c r="E102" s="2"/>
      <c r="F102" s="209"/>
      <c r="G102" s="99"/>
      <c r="H102" s="74"/>
      <c r="I102" s="74"/>
      <c r="J102" s="113"/>
      <c r="K102" s="100">
        <f t="shared" ref="K102:K108" si="20">H102+I102+J102+M102</f>
        <v>0</v>
      </c>
      <c r="L102" s="95"/>
      <c r="M102" s="95">
        <f t="shared" ref="M102:M108" si="21">SUM(N102:S102)</f>
        <v>0</v>
      </c>
      <c r="N102" s="64">
        <f t="shared" si="19"/>
        <v>0</v>
      </c>
      <c r="O102" s="64"/>
      <c r="P102" s="95">
        <f t="shared" ref="P102:P108" si="22">+I102*0.13</f>
        <v>0</v>
      </c>
      <c r="Q102" s="64"/>
      <c r="R102" s="95">
        <f t="shared" ref="R102:R108" si="23">J102*0.25</f>
        <v>0</v>
      </c>
      <c r="S102" s="64"/>
    </row>
    <row r="103" spans="1:19" x14ac:dyDescent="0.2">
      <c r="A103" s="358"/>
      <c r="B103" s="230"/>
      <c r="C103" s="107"/>
      <c r="D103" s="39"/>
      <c r="E103" s="2"/>
      <c r="F103" s="2"/>
      <c r="G103" s="99"/>
      <c r="H103" s="74"/>
      <c r="I103" s="74"/>
      <c r="J103" s="113"/>
      <c r="K103" s="100">
        <f t="shared" si="20"/>
        <v>0</v>
      </c>
      <c r="L103" s="95"/>
      <c r="M103" s="95">
        <f t="shared" si="21"/>
        <v>0</v>
      </c>
      <c r="N103" s="64">
        <f t="shared" si="19"/>
        <v>0</v>
      </c>
      <c r="O103" s="64"/>
      <c r="P103" s="95">
        <f t="shared" si="22"/>
        <v>0</v>
      </c>
      <c r="Q103" s="64"/>
      <c r="R103" s="95">
        <f t="shared" si="23"/>
        <v>0</v>
      </c>
      <c r="S103" s="64"/>
    </row>
    <row r="104" spans="1:19" x14ac:dyDescent="0.2">
      <c r="A104" s="358"/>
      <c r="B104" s="230"/>
      <c r="C104" s="107"/>
      <c r="D104" s="39"/>
      <c r="E104" s="2"/>
      <c r="F104" s="98"/>
      <c r="G104" s="99"/>
      <c r="H104" s="74"/>
      <c r="I104" s="74"/>
      <c r="J104" s="113"/>
      <c r="K104" s="100">
        <f t="shared" si="20"/>
        <v>0</v>
      </c>
      <c r="L104" s="95"/>
      <c r="M104" s="95">
        <f t="shared" si="21"/>
        <v>0</v>
      </c>
      <c r="N104" s="64">
        <f t="shared" si="19"/>
        <v>0</v>
      </c>
      <c r="O104" s="64"/>
      <c r="P104" s="95">
        <f t="shared" si="22"/>
        <v>0</v>
      </c>
      <c r="Q104" s="64"/>
      <c r="R104" s="95">
        <f t="shared" si="23"/>
        <v>0</v>
      </c>
      <c r="S104" s="64"/>
    </row>
    <row r="105" spans="1:19" x14ac:dyDescent="0.2">
      <c r="A105" s="358"/>
      <c r="B105" s="230"/>
      <c r="C105" s="107"/>
      <c r="D105" s="39"/>
      <c r="E105" s="2"/>
      <c r="F105" s="98"/>
      <c r="G105" s="99"/>
      <c r="H105" s="74"/>
      <c r="I105" s="74"/>
      <c r="J105" s="113"/>
      <c r="K105" s="100">
        <f t="shared" si="20"/>
        <v>0</v>
      </c>
      <c r="L105" s="95"/>
      <c r="M105" s="95">
        <f t="shared" si="21"/>
        <v>0</v>
      </c>
      <c r="N105" s="64">
        <f t="shared" si="19"/>
        <v>0</v>
      </c>
      <c r="O105" s="64"/>
      <c r="P105" s="95">
        <f t="shared" si="22"/>
        <v>0</v>
      </c>
      <c r="Q105" s="64"/>
      <c r="R105" s="95">
        <f t="shared" si="23"/>
        <v>0</v>
      </c>
      <c r="S105" s="64"/>
    </row>
    <row r="106" spans="1:19" x14ac:dyDescent="0.2">
      <c r="A106" s="358"/>
      <c r="B106" s="230"/>
      <c r="C106" s="107"/>
      <c r="D106" s="39"/>
      <c r="E106" s="2"/>
      <c r="F106" s="98"/>
      <c r="G106" s="99"/>
      <c r="H106" s="74"/>
      <c r="I106" s="74"/>
      <c r="J106" s="113"/>
      <c r="K106" s="100">
        <f t="shared" si="20"/>
        <v>0</v>
      </c>
      <c r="L106" s="95"/>
      <c r="M106" s="95">
        <f t="shared" si="21"/>
        <v>0</v>
      </c>
      <c r="N106" s="64">
        <f t="shared" si="19"/>
        <v>0</v>
      </c>
      <c r="O106" s="64"/>
      <c r="P106" s="95">
        <f t="shared" si="22"/>
        <v>0</v>
      </c>
      <c r="Q106" s="64"/>
      <c r="R106" s="95">
        <f t="shared" si="23"/>
        <v>0</v>
      </c>
      <c r="S106" s="64"/>
    </row>
    <row r="107" spans="1:19" x14ac:dyDescent="0.2">
      <c r="A107" s="358"/>
      <c r="B107" s="230"/>
      <c r="C107" s="107"/>
      <c r="D107" s="39"/>
      <c r="E107" s="2"/>
      <c r="F107" s="98"/>
      <c r="G107" s="99"/>
      <c r="H107" s="74"/>
      <c r="I107" s="74"/>
      <c r="J107" s="113"/>
      <c r="K107" s="100">
        <f t="shared" si="20"/>
        <v>0</v>
      </c>
      <c r="L107" s="95"/>
      <c r="M107" s="95">
        <f t="shared" si="21"/>
        <v>0</v>
      </c>
      <c r="N107" s="64">
        <f t="shared" si="19"/>
        <v>0</v>
      </c>
      <c r="O107" s="64"/>
      <c r="P107" s="95">
        <f t="shared" si="22"/>
        <v>0</v>
      </c>
      <c r="Q107" s="64"/>
      <c r="R107" s="95">
        <f t="shared" si="23"/>
        <v>0</v>
      </c>
      <c r="S107" s="64"/>
    </row>
    <row r="108" spans="1:19" x14ac:dyDescent="0.2">
      <c r="A108" s="358"/>
      <c r="B108" s="230"/>
      <c r="C108" s="107"/>
      <c r="D108" s="39"/>
      <c r="E108" s="2"/>
      <c r="F108" s="98"/>
      <c r="G108" s="99"/>
      <c r="H108" s="74"/>
      <c r="I108" s="74"/>
      <c r="J108" s="113"/>
      <c r="K108" s="100">
        <f t="shared" si="20"/>
        <v>0</v>
      </c>
      <c r="L108" s="95"/>
      <c r="M108" s="95">
        <f t="shared" si="21"/>
        <v>0</v>
      </c>
      <c r="N108" s="64">
        <f t="shared" si="19"/>
        <v>0</v>
      </c>
      <c r="O108" s="64"/>
      <c r="P108" s="95">
        <f t="shared" si="22"/>
        <v>0</v>
      </c>
      <c r="Q108" s="64"/>
      <c r="R108" s="95">
        <f t="shared" si="23"/>
        <v>0</v>
      </c>
      <c r="S108" s="64"/>
    </row>
    <row r="109" spans="1:19" x14ac:dyDescent="0.2">
      <c r="A109" s="358"/>
      <c r="B109" s="230"/>
      <c r="C109" s="107"/>
      <c r="D109" s="39"/>
      <c r="E109" s="2"/>
      <c r="F109" s="2"/>
      <c r="G109" s="99"/>
      <c r="H109" s="74"/>
      <c r="I109" s="74"/>
      <c r="J109" s="113"/>
      <c r="K109" s="100">
        <f t="shared" ref="K109:K114" si="24">H109+I109+J109+M109</f>
        <v>0</v>
      </c>
      <c r="L109" s="95"/>
      <c r="M109" s="95">
        <f t="shared" ref="M109:M114" si="25">SUM(N109:S109)</f>
        <v>0</v>
      </c>
      <c r="N109" s="64">
        <f t="shared" si="19"/>
        <v>0</v>
      </c>
      <c r="O109" s="64"/>
      <c r="P109" s="95">
        <f t="shared" ref="P109:P114" si="26">+I109*0.13</f>
        <v>0</v>
      </c>
      <c r="Q109" s="64"/>
      <c r="R109" s="95">
        <f t="shared" ref="R109:R114" si="27">J109*0.25</f>
        <v>0</v>
      </c>
      <c r="S109" s="64"/>
    </row>
    <row r="110" spans="1:19" x14ac:dyDescent="0.2">
      <c r="A110" s="358"/>
      <c r="B110" s="230"/>
      <c r="C110" s="107"/>
      <c r="D110" s="39"/>
      <c r="E110" s="2"/>
      <c r="F110" s="209"/>
      <c r="G110" s="99"/>
      <c r="H110" s="74"/>
      <c r="I110" s="74"/>
      <c r="J110" s="113"/>
      <c r="K110" s="100">
        <f t="shared" si="24"/>
        <v>0</v>
      </c>
      <c r="L110" s="95"/>
      <c r="M110" s="95">
        <f t="shared" si="25"/>
        <v>0</v>
      </c>
      <c r="N110" s="64">
        <f t="shared" si="19"/>
        <v>0</v>
      </c>
      <c r="O110" s="64"/>
      <c r="P110" s="95">
        <f t="shared" si="26"/>
        <v>0</v>
      </c>
      <c r="Q110" s="64"/>
      <c r="R110" s="95">
        <f t="shared" si="27"/>
        <v>0</v>
      </c>
      <c r="S110" s="64"/>
    </row>
    <row r="111" spans="1:19" x14ac:dyDescent="0.2">
      <c r="A111" s="358"/>
      <c r="B111" s="230"/>
      <c r="C111" s="107"/>
      <c r="D111" s="39"/>
      <c r="E111" s="2"/>
      <c r="F111" s="98"/>
      <c r="G111" s="99"/>
      <c r="H111" s="74"/>
      <c r="I111" s="74"/>
      <c r="J111" s="113"/>
      <c r="K111" s="100">
        <f t="shared" si="24"/>
        <v>0</v>
      </c>
      <c r="L111" s="95"/>
      <c r="M111" s="95">
        <f t="shared" si="25"/>
        <v>0</v>
      </c>
      <c r="N111" s="64">
        <f t="shared" si="19"/>
        <v>0</v>
      </c>
      <c r="O111" s="64"/>
      <c r="P111" s="95">
        <f t="shared" si="26"/>
        <v>0</v>
      </c>
      <c r="Q111" s="64"/>
      <c r="R111" s="95">
        <f t="shared" si="27"/>
        <v>0</v>
      </c>
      <c r="S111" s="64"/>
    </row>
    <row r="112" spans="1:19" x14ac:dyDescent="0.2">
      <c r="A112" s="358"/>
      <c r="B112" s="230"/>
      <c r="C112" s="107"/>
      <c r="D112" s="39"/>
      <c r="E112" s="2"/>
      <c r="F112" s="98"/>
      <c r="G112" s="99"/>
      <c r="H112" s="74"/>
      <c r="I112" s="74"/>
      <c r="J112" s="113"/>
      <c r="K112" s="100">
        <f t="shared" si="24"/>
        <v>0</v>
      </c>
      <c r="L112" s="95"/>
      <c r="M112" s="95">
        <f t="shared" si="25"/>
        <v>0</v>
      </c>
      <c r="N112" s="64">
        <f t="shared" si="19"/>
        <v>0</v>
      </c>
      <c r="O112" s="64"/>
      <c r="P112" s="95">
        <f t="shared" si="26"/>
        <v>0</v>
      </c>
      <c r="Q112" s="64"/>
      <c r="R112" s="95">
        <f t="shared" si="27"/>
        <v>0</v>
      </c>
      <c r="S112" s="64"/>
    </row>
    <row r="113" spans="1:19" ht="13.5" thickBot="1" x14ac:dyDescent="0.25">
      <c r="A113" s="211"/>
      <c r="B113" s="161"/>
      <c r="C113" s="162"/>
      <c r="D113" s="163"/>
      <c r="E113" s="175"/>
      <c r="F113" s="176"/>
      <c r="G113" s="177"/>
      <c r="H113" s="74"/>
      <c r="I113" s="74"/>
      <c r="J113" s="113"/>
      <c r="K113" s="100">
        <f t="shared" si="24"/>
        <v>0</v>
      </c>
      <c r="L113" s="95"/>
      <c r="M113" s="95">
        <f t="shared" si="25"/>
        <v>0</v>
      </c>
      <c r="N113" s="64">
        <f t="shared" si="19"/>
        <v>0</v>
      </c>
      <c r="O113" s="64"/>
      <c r="P113" s="95">
        <f t="shared" si="26"/>
        <v>0</v>
      </c>
      <c r="Q113" s="64"/>
      <c r="R113" s="95">
        <f t="shared" si="27"/>
        <v>0</v>
      </c>
      <c r="S113" s="64"/>
    </row>
    <row r="114" spans="1:19" x14ac:dyDescent="0.2">
      <c r="A114" s="120"/>
      <c r="B114" s="136">
        <v>0</v>
      </c>
      <c r="C114" s="137"/>
      <c r="D114" s="144"/>
      <c r="E114" s="145"/>
      <c r="F114" s="146"/>
      <c r="G114" s="147"/>
      <c r="H114" s="74"/>
      <c r="I114" s="74"/>
      <c r="J114" s="113"/>
      <c r="K114" s="100">
        <f t="shared" si="24"/>
        <v>0</v>
      </c>
      <c r="L114" s="95"/>
      <c r="M114" s="95">
        <f t="shared" si="25"/>
        <v>0</v>
      </c>
      <c r="N114" s="64">
        <f t="shared" si="19"/>
        <v>0</v>
      </c>
      <c r="O114" s="64"/>
      <c r="P114" s="95">
        <f t="shared" si="26"/>
        <v>0</v>
      </c>
      <c r="Q114" s="64"/>
      <c r="R114" s="95">
        <f t="shared" si="27"/>
        <v>0</v>
      </c>
      <c r="S114" s="64"/>
    </row>
    <row r="115" spans="1:19" x14ac:dyDescent="0.2">
      <c r="A115" s="1"/>
      <c r="B115" s="383" t="s">
        <v>701</v>
      </c>
      <c r="C115" s="384"/>
      <c r="D115" s="384"/>
      <c r="E115" s="384"/>
      <c r="F115" s="385"/>
      <c r="G115" s="150"/>
      <c r="H115" s="74"/>
      <c r="I115" s="74"/>
      <c r="J115" s="113"/>
      <c r="K115" s="100">
        <f t="shared" ref="K115:K132" si="28">H115+I115+J115+M115</f>
        <v>0</v>
      </c>
      <c r="L115" s="95"/>
      <c r="M115" s="95">
        <f t="shared" ref="M115:M132" si="29">SUM(N115:S115)</f>
        <v>0</v>
      </c>
      <c r="N115" s="64">
        <f t="shared" si="19"/>
        <v>0</v>
      </c>
      <c r="O115" s="64"/>
      <c r="P115" s="95">
        <f t="shared" ref="P115:P132" si="30">+I115*0.13</f>
        <v>0</v>
      </c>
      <c r="Q115" s="64"/>
      <c r="R115" s="95">
        <f t="shared" ref="R115:R132" si="31">J115*0.25</f>
        <v>0</v>
      </c>
      <c r="S115" s="64"/>
    </row>
    <row r="116" spans="1:19" ht="13.5" thickBot="1" x14ac:dyDescent="0.25">
      <c r="A116" s="1"/>
      <c r="B116" s="161"/>
      <c r="C116" s="162"/>
      <c r="D116" s="163"/>
      <c r="E116" s="175"/>
      <c r="F116" s="176"/>
      <c r="G116" s="177"/>
      <c r="H116" s="74"/>
      <c r="I116" s="74"/>
      <c r="J116" s="113"/>
      <c r="K116" s="100">
        <f t="shared" si="28"/>
        <v>0</v>
      </c>
      <c r="L116" s="95"/>
      <c r="M116" s="95">
        <f t="shared" si="29"/>
        <v>0</v>
      </c>
      <c r="N116" s="64">
        <f t="shared" si="19"/>
        <v>0</v>
      </c>
      <c r="O116" s="64"/>
      <c r="P116" s="95">
        <f t="shared" si="30"/>
        <v>0</v>
      </c>
      <c r="Q116" s="64"/>
      <c r="R116" s="95">
        <f t="shared" si="31"/>
        <v>0</v>
      </c>
      <c r="S116" s="64"/>
    </row>
    <row r="117" spans="1:19" x14ac:dyDescent="0.2">
      <c r="A117" s="359"/>
      <c r="B117" s="136"/>
      <c r="C117" s="137"/>
      <c r="D117" s="144"/>
      <c r="E117" s="145"/>
      <c r="F117" s="178"/>
      <c r="G117" s="147"/>
      <c r="H117" s="74"/>
      <c r="I117" s="74"/>
      <c r="J117" s="113"/>
      <c r="K117" s="100">
        <f t="shared" si="28"/>
        <v>0</v>
      </c>
      <c r="L117" s="95"/>
      <c r="M117" s="95">
        <f t="shared" si="29"/>
        <v>0</v>
      </c>
      <c r="N117" s="64">
        <f t="shared" si="19"/>
        <v>0</v>
      </c>
      <c r="O117" s="64"/>
      <c r="P117" s="95">
        <f t="shared" si="30"/>
        <v>0</v>
      </c>
      <c r="Q117" s="64"/>
      <c r="R117" s="95">
        <f t="shared" si="31"/>
        <v>0</v>
      </c>
      <c r="S117" s="64"/>
    </row>
    <row r="118" spans="1:19" x14ac:dyDescent="0.2">
      <c r="A118" s="211"/>
      <c r="B118" s="138"/>
      <c r="C118" s="133"/>
      <c r="D118" s="135"/>
      <c r="E118" s="2"/>
      <c r="F118" s="98"/>
      <c r="G118" s="99"/>
      <c r="H118" s="74"/>
      <c r="I118" s="74"/>
      <c r="J118" s="113"/>
      <c r="K118" s="100">
        <f t="shared" si="28"/>
        <v>0</v>
      </c>
      <c r="L118" s="95"/>
      <c r="M118" s="95">
        <f t="shared" si="29"/>
        <v>0</v>
      </c>
      <c r="N118" s="64">
        <f t="shared" si="19"/>
        <v>0</v>
      </c>
      <c r="O118" s="64"/>
      <c r="P118" s="95">
        <f t="shared" si="30"/>
        <v>0</v>
      </c>
      <c r="Q118" s="64"/>
      <c r="R118" s="95">
        <f t="shared" si="31"/>
        <v>0</v>
      </c>
      <c r="S118" s="64"/>
    </row>
    <row r="119" spans="1:19" x14ac:dyDescent="0.2">
      <c r="A119" s="211"/>
      <c r="B119" s="138"/>
      <c r="C119" s="133"/>
      <c r="D119" s="135"/>
      <c r="E119" s="2"/>
      <c r="F119" s="98"/>
      <c r="G119" s="99"/>
      <c r="H119" s="74"/>
      <c r="I119" s="74"/>
      <c r="J119" s="113"/>
      <c r="K119" s="100">
        <f t="shared" si="28"/>
        <v>0</v>
      </c>
      <c r="L119" s="95"/>
      <c r="M119" s="95">
        <f t="shared" si="29"/>
        <v>0</v>
      </c>
      <c r="N119" s="64">
        <f t="shared" si="19"/>
        <v>0</v>
      </c>
      <c r="O119" s="64"/>
      <c r="P119" s="95">
        <f t="shared" si="30"/>
        <v>0</v>
      </c>
      <c r="Q119" s="64"/>
      <c r="R119" s="95">
        <f t="shared" si="31"/>
        <v>0</v>
      </c>
      <c r="S119" s="64"/>
    </row>
    <row r="120" spans="1:19" x14ac:dyDescent="0.2">
      <c r="A120" s="211"/>
      <c r="B120" s="138"/>
      <c r="C120" s="133"/>
      <c r="D120" s="135"/>
      <c r="E120" s="139"/>
      <c r="F120" s="140"/>
      <c r="G120" s="141"/>
      <c r="H120" s="74"/>
      <c r="I120" s="74"/>
      <c r="J120" s="113"/>
      <c r="K120" s="100">
        <f t="shared" si="28"/>
        <v>0</v>
      </c>
      <c r="L120" s="95"/>
      <c r="M120" s="95">
        <f t="shared" si="29"/>
        <v>0</v>
      </c>
      <c r="N120" s="64">
        <f t="shared" si="19"/>
        <v>0</v>
      </c>
      <c r="O120" s="64"/>
      <c r="P120" s="95">
        <f t="shared" si="30"/>
        <v>0</v>
      </c>
      <c r="Q120" s="64"/>
      <c r="R120" s="95">
        <f t="shared" si="31"/>
        <v>0</v>
      </c>
      <c r="S120" s="64"/>
    </row>
    <row r="121" spans="1:19" x14ac:dyDescent="0.2">
      <c r="A121" s="211"/>
      <c r="B121" s="138"/>
      <c r="C121" s="133"/>
      <c r="D121" s="135"/>
      <c r="E121" s="2"/>
      <c r="F121" s="2"/>
      <c r="G121" s="99"/>
      <c r="H121" s="74"/>
      <c r="I121" s="74"/>
      <c r="J121" s="113"/>
      <c r="K121" s="100">
        <f t="shared" si="28"/>
        <v>0</v>
      </c>
      <c r="L121" s="95"/>
      <c r="M121" s="95">
        <f t="shared" si="29"/>
        <v>0</v>
      </c>
      <c r="N121" s="64">
        <f t="shared" si="19"/>
        <v>0</v>
      </c>
      <c r="O121" s="64"/>
      <c r="P121" s="95">
        <f t="shared" si="30"/>
        <v>0</v>
      </c>
      <c r="Q121" s="64"/>
      <c r="R121" s="95">
        <f t="shared" si="31"/>
        <v>0</v>
      </c>
      <c r="S121" s="64"/>
    </row>
    <row r="122" spans="1:19" x14ac:dyDescent="0.2">
      <c r="A122" s="211"/>
      <c r="B122" s="138"/>
      <c r="C122" s="133"/>
      <c r="D122" s="135"/>
      <c r="E122" s="2"/>
      <c r="F122" s="98"/>
      <c r="G122" s="99"/>
      <c r="H122" s="74"/>
      <c r="I122" s="74"/>
      <c r="J122" s="113"/>
      <c r="K122" s="100">
        <f t="shared" si="28"/>
        <v>0</v>
      </c>
      <c r="L122" s="95"/>
      <c r="M122" s="95">
        <f t="shared" si="29"/>
        <v>0</v>
      </c>
      <c r="N122" s="64">
        <f t="shared" si="19"/>
        <v>0</v>
      </c>
      <c r="O122" s="64"/>
      <c r="P122" s="95">
        <f t="shared" si="30"/>
        <v>0</v>
      </c>
      <c r="Q122" s="64"/>
      <c r="R122" s="95">
        <f t="shared" si="31"/>
        <v>0</v>
      </c>
      <c r="S122" s="64"/>
    </row>
    <row r="123" spans="1:19" x14ac:dyDescent="0.2">
      <c r="A123" s="211"/>
      <c r="B123" s="138"/>
      <c r="C123" s="133"/>
      <c r="D123" s="135"/>
      <c r="E123" s="2"/>
      <c r="F123" s="98"/>
      <c r="G123" s="99"/>
      <c r="H123" s="74"/>
      <c r="I123" s="74"/>
      <c r="J123" s="113"/>
      <c r="K123" s="100">
        <f t="shared" si="28"/>
        <v>0</v>
      </c>
      <c r="L123" s="95"/>
      <c r="M123" s="95">
        <f t="shared" si="29"/>
        <v>0</v>
      </c>
      <c r="N123" s="64">
        <f t="shared" si="19"/>
        <v>0</v>
      </c>
      <c r="O123" s="64"/>
      <c r="P123" s="95">
        <f t="shared" si="30"/>
        <v>0</v>
      </c>
      <c r="Q123" s="64"/>
      <c r="R123" s="95">
        <f t="shared" si="31"/>
        <v>0</v>
      </c>
      <c r="S123" s="64"/>
    </row>
    <row r="124" spans="1:19" x14ac:dyDescent="0.2">
      <c r="A124" s="211"/>
      <c r="B124" s="138"/>
      <c r="C124" s="133"/>
      <c r="D124" s="135"/>
      <c r="E124" s="2"/>
      <c r="F124" s="98"/>
      <c r="G124" s="99"/>
      <c r="H124" s="74"/>
      <c r="I124" s="74"/>
      <c r="J124" s="113"/>
      <c r="K124" s="100">
        <f t="shared" si="28"/>
        <v>0</v>
      </c>
      <c r="L124" s="95"/>
      <c r="M124" s="95">
        <f t="shared" si="29"/>
        <v>0</v>
      </c>
      <c r="N124" s="64">
        <f t="shared" si="19"/>
        <v>0</v>
      </c>
      <c r="O124" s="64"/>
      <c r="P124" s="95">
        <f t="shared" si="30"/>
        <v>0</v>
      </c>
      <c r="Q124" s="64"/>
      <c r="R124" s="95">
        <f t="shared" si="31"/>
        <v>0</v>
      </c>
      <c r="S124" s="64"/>
    </row>
    <row r="125" spans="1:19" x14ac:dyDescent="0.2">
      <c r="A125" s="211"/>
      <c r="B125" s="138"/>
      <c r="C125" s="133"/>
      <c r="D125" s="135"/>
      <c r="E125" s="2"/>
      <c r="F125" s="98"/>
      <c r="G125" s="99"/>
      <c r="H125" s="74"/>
      <c r="I125" s="74"/>
      <c r="J125" s="113"/>
      <c r="K125" s="100">
        <f t="shared" si="28"/>
        <v>0</v>
      </c>
      <c r="L125" s="95"/>
      <c r="M125" s="95">
        <f t="shared" si="29"/>
        <v>0</v>
      </c>
      <c r="N125" s="64">
        <f t="shared" si="19"/>
        <v>0</v>
      </c>
      <c r="O125" s="64"/>
      <c r="P125" s="95">
        <f t="shared" si="30"/>
        <v>0</v>
      </c>
      <c r="Q125" s="64"/>
      <c r="R125" s="95">
        <f t="shared" si="31"/>
        <v>0</v>
      </c>
      <c r="S125" s="64"/>
    </row>
    <row r="126" spans="1:19" x14ac:dyDescent="0.2">
      <c r="A126" s="211"/>
      <c r="B126" s="138"/>
      <c r="C126" s="133"/>
      <c r="D126" s="135"/>
      <c r="E126" s="139"/>
      <c r="F126" s="164"/>
      <c r="G126" s="141"/>
      <c r="H126" s="74"/>
      <c r="I126" s="74"/>
      <c r="J126" s="113"/>
      <c r="K126" s="100">
        <f t="shared" si="28"/>
        <v>0</v>
      </c>
      <c r="L126" s="95"/>
      <c r="M126" s="95">
        <f t="shared" si="29"/>
        <v>0</v>
      </c>
      <c r="N126" s="64">
        <f t="shared" si="19"/>
        <v>0</v>
      </c>
      <c r="O126" s="64"/>
      <c r="P126" s="95">
        <f t="shared" si="30"/>
        <v>0</v>
      </c>
      <c r="Q126" s="64"/>
      <c r="R126" s="95">
        <f t="shared" si="31"/>
        <v>0</v>
      </c>
      <c r="S126" s="64"/>
    </row>
    <row r="127" spans="1:19" x14ac:dyDescent="0.2">
      <c r="A127" s="211"/>
      <c r="B127" s="138"/>
      <c r="C127" s="133"/>
      <c r="D127" s="135"/>
      <c r="E127" s="2"/>
      <c r="F127" s="98"/>
      <c r="G127" s="99"/>
      <c r="H127" s="74"/>
      <c r="I127" s="74"/>
      <c r="J127" s="113"/>
      <c r="K127" s="100">
        <f t="shared" si="28"/>
        <v>0</v>
      </c>
      <c r="L127" s="95"/>
      <c r="M127" s="95">
        <f t="shared" si="29"/>
        <v>0</v>
      </c>
      <c r="N127" s="64">
        <f t="shared" si="19"/>
        <v>0</v>
      </c>
      <c r="O127" s="64"/>
      <c r="P127" s="95">
        <f t="shared" si="30"/>
        <v>0</v>
      </c>
      <c r="Q127" s="64"/>
      <c r="R127" s="95">
        <f t="shared" si="31"/>
        <v>0</v>
      </c>
      <c r="S127" s="64"/>
    </row>
    <row r="128" spans="1:19" x14ac:dyDescent="0.2">
      <c r="A128" s="211"/>
      <c r="B128" s="138"/>
      <c r="C128" s="133"/>
      <c r="D128" s="135"/>
      <c r="E128" s="2"/>
      <c r="F128" s="98"/>
      <c r="G128" s="99"/>
      <c r="H128" s="74"/>
      <c r="I128" s="74"/>
      <c r="J128" s="113"/>
      <c r="K128" s="100">
        <f t="shared" si="28"/>
        <v>0</v>
      </c>
      <c r="L128" s="95"/>
      <c r="M128" s="95">
        <f t="shared" si="29"/>
        <v>0</v>
      </c>
      <c r="N128" s="64">
        <f t="shared" si="19"/>
        <v>0</v>
      </c>
      <c r="O128" s="64"/>
      <c r="P128" s="95">
        <f t="shared" si="30"/>
        <v>0</v>
      </c>
      <c r="Q128" s="64"/>
      <c r="R128" s="95">
        <f t="shared" si="31"/>
        <v>0</v>
      </c>
      <c r="S128" s="64"/>
    </row>
    <row r="129" spans="1:19" x14ac:dyDescent="0.2">
      <c r="A129" s="211"/>
      <c r="B129" s="138"/>
      <c r="C129" s="133"/>
      <c r="D129" s="135"/>
      <c r="E129" s="139"/>
      <c r="F129" s="140"/>
      <c r="G129" s="141"/>
      <c r="H129" s="74"/>
      <c r="I129" s="74"/>
      <c r="J129" s="113"/>
      <c r="K129" s="100">
        <f t="shared" si="28"/>
        <v>0</v>
      </c>
      <c r="L129" s="95"/>
      <c r="M129" s="95">
        <f t="shared" si="29"/>
        <v>0</v>
      </c>
      <c r="N129" s="64">
        <f t="shared" si="19"/>
        <v>0</v>
      </c>
      <c r="O129" s="64"/>
      <c r="P129" s="95">
        <f t="shared" si="30"/>
        <v>0</v>
      </c>
      <c r="Q129" s="64"/>
      <c r="R129" s="95">
        <f t="shared" si="31"/>
        <v>0</v>
      </c>
      <c r="S129" s="64"/>
    </row>
    <row r="130" spans="1:19" x14ac:dyDescent="0.2">
      <c r="A130" s="358"/>
      <c r="B130" s="230"/>
      <c r="C130" s="107"/>
      <c r="D130" s="39"/>
      <c r="E130" s="2"/>
      <c r="F130" s="98"/>
      <c r="G130" s="99"/>
      <c r="H130" s="74"/>
      <c r="I130" s="74"/>
      <c r="J130" s="113"/>
      <c r="K130" s="100">
        <f t="shared" si="28"/>
        <v>0</v>
      </c>
      <c r="L130" s="95"/>
      <c r="M130" s="95">
        <f t="shared" si="29"/>
        <v>0</v>
      </c>
      <c r="N130" s="64">
        <f t="shared" si="19"/>
        <v>0</v>
      </c>
      <c r="O130" s="64"/>
      <c r="P130" s="95">
        <f t="shared" si="30"/>
        <v>0</v>
      </c>
      <c r="Q130" s="64"/>
      <c r="R130" s="95">
        <f t="shared" si="31"/>
        <v>0</v>
      </c>
      <c r="S130" s="64"/>
    </row>
    <row r="131" spans="1:19" x14ac:dyDescent="0.2">
      <c r="A131" s="368"/>
      <c r="B131" s="230"/>
      <c r="C131" s="107"/>
      <c r="D131" s="39"/>
      <c r="E131" s="2"/>
      <c r="F131" s="98"/>
      <c r="G131" s="99"/>
      <c r="H131" s="74"/>
      <c r="I131" s="74"/>
      <c r="J131" s="113"/>
      <c r="K131" s="100">
        <f t="shared" si="28"/>
        <v>0</v>
      </c>
      <c r="L131" s="95"/>
      <c r="M131" s="95">
        <f t="shared" si="29"/>
        <v>0</v>
      </c>
      <c r="N131" s="64">
        <f t="shared" si="19"/>
        <v>0</v>
      </c>
      <c r="O131" s="64"/>
      <c r="P131" s="95">
        <f t="shared" si="30"/>
        <v>0</v>
      </c>
      <c r="Q131" s="64"/>
      <c r="R131" s="95">
        <f t="shared" si="31"/>
        <v>0</v>
      </c>
      <c r="S131" s="64"/>
    </row>
    <row r="132" spans="1:19" x14ac:dyDescent="0.2">
      <c r="A132" s="211"/>
      <c r="B132" s="138"/>
      <c r="C132" s="133"/>
      <c r="D132" s="135"/>
      <c r="E132" s="2"/>
      <c r="F132" s="98"/>
      <c r="G132" s="99"/>
      <c r="H132" s="74"/>
      <c r="I132" s="74"/>
      <c r="J132" s="113"/>
      <c r="K132" s="100">
        <f t="shared" si="28"/>
        <v>0</v>
      </c>
      <c r="L132" s="95"/>
      <c r="M132" s="95">
        <f t="shared" si="29"/>
        <v>0</v>
      </c>
      <c r="N132" s="64">
        <f t="shared" si="19"/>
        <v>0</v>
      </c>
      <c r="O132" s="64"/>
      <c r="P132" s="95">
        <f t="shared" si="30"/>
        <v>0</v>
      </c>
      <c r="Q132" s="64"/>
      <c r="R132" s="95">
        <f t="shared" si="31"/>
        <v>0</v>
      </c>
      <c r="S132" s="64"/>
    </row>
    <row r="133" spans="1:19" x14ac:dyDescent="0.2">
      <c r="A133" s="211"/>
      <c r="B133" s="138"/>
      <c r="C133" s="133"/>
      <c r="D133" s="135"/>
      <c r="E133" s="2"/>
      <c r="F133" s="98"/>
      <c r="G133" s="99"/>
      <c r="H133" s="74"/>
      <c r="I133" s="74"/>
      <c r="J133" s="113"/>
      <c r="K133" s="100">
        <f t="shared" ref="K133:K153" si="32">H133+I133+J133+M133</f>
        <v>0</v>
      </c>
      <c r="L133" s="95"/>
      <c r="M133" s="95">
        <f t="shared" ref="M133:M153" si="33">SUM(N133:S133)</f>
        <v>0</v>
      </c>
      <c r="N133" s="64">
        <f t="shared" si="19"/>
        <v>0</v>
      </c>
      <c r="O133" s="64"/>
      <c r="P133" s="95">
        <f t="shared" ref="P133:P153" si="34">+I133*0.13</f>
        <v>0</v>
      </c>
      <c r="Q133" s="64"/>
      <c r="R133" s="95">
        <f t="shared" ref="R133:R153" si="35">J133*0.25</f>
        <v>0</v>
      </c>
      <c r="S133" s="64"/>
    </row>
    <row r="134" spans="1:19" x14ac:dyDescent="0.2">
      <c r="A134" s="211"/>
      <c r="B134" s="138"/>
      <c r="C134" s="133"/>
      <c r="D134" s="135"/>
      <c r="E134" s="2"/>
      <c r="F134" s="98"/>
      <c r="G134" s="99"/>
      <c r="H134" s="74"/>
      <c r="I134" s="74"/>
      <c r="J134" s="113"/>
      <c r="K134" s="100">
        <f t="shared" si="32"/>
        <v>0</v>
      </c>
      <c r="L134" s="95"/>
      <c r="M134" s="95">
        <f t="shared" si="33"/>
        <v>0</v>
      </c>
      <c r="N134" s="64">
        <f t="shared" si="19"/>
        <v>0</v>
      </c>
      <c r="O134" s="64"/>
      <c r="P134" s="95">
        <f t="shared" si="34"/>
        <v>0</v>
      </c>
      <c r="Q134" s="64"/>
      <c r="R134" s="95">
        <f t="shared" si="35"/>
        <v>0</v>
      </c>
      <c r="S134" s="64"/>
    </row>
    <row r="135" spans="1:19" x14ac:dyDescent="0.2">
      <c r="A135" s="211"/>
      <c r="B135" s="138"/>
      <c r="C135" s="133"/>
      <c r="D135" s="135"/>
      <c r="E135" s="2"/>
      <c r="F135" s="98"/>
      <c r="G135" s="99"/>
      <c r="H135" s="74"/>
      <c r="I135" s="74"/>
      <c r="J135" s="113"/>
      <c r="K135" s="100">
        <f t="shared" si="32"/>
        <v>0</v>
      </c>
      <c r="L135" s="95"/>
      <c r="M135" s="95">
        <f t="shared" si="33"/>
        <v>0</v>
      </c>
      <c r="N135" s="64">
        <f t="shared" si="19"/>
        <v>0</v>
      </c>
      <c r="O135" s="64"/>
      <c r="P135" s="95">
        <f t="shared" si="34"/>
        <v>0</v>
      </c>
      <c r="Q135" s="64"/>
      <c r="R135" s="95">
        <f t="shared" si="35"/>
        <v>0</v>
      </c>
      <c r="S135" s="64"/>
    </row>
    <row r="136" spans="1:19" x14ac:dyDescent="0.2">
      <c r="A136" s="211"/>
      <c r="B136" s="138"/>
      <c r="C136" s="133"/>
      <c r="D136" s="135"/>
      <c r="E136" s="2"/>
      <c r="F136" s="98"/>
      <c r="G136" s="99"/>
      <c r="H136" s="74"/>
      <c r="I136" s="74"/>
      <c r="J136" s="113"/>
      <c r="K136" s="100">
        <f t="shared" si="32"/>
        <v>0</v>
      </c>
      <c r="L136" s="95"/>
      <c r="M136" s="95">
        <f t="shared" si="33"/>
        <v>0</v>
      </c>
      <c r="N136" s="64">
        <f t="shared" si="19"/>
        <v>0</v>
      </c>
      <c r="O136" s="64"/>
      <c r="P136" s="95">
        <f t="shared" si="34"/>
        <v>0</v>
      </c>
      <c r="Q136" s="64"/>
      <c r="R136" s="95">
        <f t="shared" si="35"/>
        <v>0</v>
      </c>
      <c r="S136" s="64"/>
    </row>
    <row r="137" spans="1:19" ht="13.5" thickBot="1" x14ac:dyDescent="0.25">
      <c r="A137" s="211"/>
      <c r="B137" s="138"/>
      <c r="C137" s="133"/>
      <c r="D137" s="135"/>
      <c r="E137" s="2"/>
      <c r="F137" s="98"/>
      <c r="G137" s="99"/>
      <c r="H137" s="74"/>
      <c r="I137" s="74"/>
      <c r="J137" s="113"/>
      <c r="K137" s="100">
        <f t="shared" si="32"/>
        <v>0</v>
      </c>
      <c r="L137" s="95"/>
      <c r="M137" s="95">
        <f t="shared" si="33"/>
        <v>0</v>
      </c>
      <c r="N137" s="64">
        <f t="shared" si="19"/>
        <v>0</v>
      </c>
      <c r="O137" s="64"/>
      <c r="P137" s="95">
        <f t="shared" si="34"/>
        <v>0</v>
      </c>
      <c r="Q137" s="64"/>
      <c r="R137" s="95">
        <f t="shared" si="35"/>
        <v>0</v>
      </c>
      <c r="S137" s="64"/>
    </row>
    <row r="138" spans="1:19" x14ac:dyDescent="0.2">
      <c r="A138" s="120"/>
      <c r="B138" s="136">
        <v>0</v>
      </c>
      <c r="C138" s="137"/>
      <c r="D138" s="144"/>
      <c r="E138" s="145"/>
      <c r="F138" s="146"/>
      <c r="G138" s="147"/>
      <c r="H138" s="74"/>
      <c r="I138" s="74"/>
      <c r="J138" s="113"/>
      <c r="K138" s="100">
        <f t="shared" si="32"/>
        <v>0</v>
      </c>
      <c r="L138" s="95"/>
      <c r="M138" s="95">
        <f t="shared" si="33"/>
        <v>0</v>
      </c>
      <c r="N138" s="64">
        <f t="shared" si="19"/>
        <v>0</v>
      </c>
      <c r="O138" s="64"/>
      <c r="P138" s="95">
        <f t="shared" si="34"/>
        <v>0</v>
      </c>
      <c r="Q138" s="64"/>
      <c r="R138" s="95">
        <f t="shared" si="35"/>
        <v>0</v>
      </c>
      <c r="S138" s="64"/>
    </row>
    <row r="139" spans="1:19" x14ac:dyDescent="0.2">
      <c r="A139" s="1"/>
      <c r="B139" s="365" t="s">
        <v>702</v>
      </c>
      <c r="C139" s="366"/>
      <c r="D139" s="366"/>
      <c r="E139" s="366"/>
      <c r="F139" s="367"/>
      <c r="G139" s="150"/>
      <c r="H139" s="74"/>
      <c r="I139" s="74"/>
      <c r="J139" s="113"/>
      <c r="K139" s="100">
        <f t="shared" si="32"/>
        <v>0</v>
      </c>
      <c r="L139" s="95"/>
      <c r="M139" s="95">
        <f t="shared" si="33"/>
        <v>0</v>
      </c>
      <c r="N139" s="64">
        <f t="shared" si="19"/>
        <v>0</v>
      </c>
      <c r="O139" s="64"/>
      <c r="P139" s="95">
        <f t="shared" si="34"/>
        <v>0</v>
      </c>
      <c r="Q139" s="64"/>
      <c r="R139" s="95">
        <f t="shared" si="35"/>
        <v>0</v>
      </c>
      <c r="S139" s="64"/>
    </row>
    <row r="140" spans="1:19" ht="13.5" thickBot="1" x14ac:dyDescent="0.25">
      <c r="A140" s="155"/>
      <c r="B140" s="157">
        <v>0</v>
      </c>
      <c r="C140" s="158"/>
      <c r="D140" s="159"/>
      <c r="E140" s="13"/>
      <c r="F140" s="183"/>
      <c r="G140" s="184"/>
      <c r="H140" s="74"/>
      <c r="I140" s="74"/>
      <c r="J140" s="113"/>
      <c r="K140" s="100">
        <f t="shared" si="32"/>
        <v>0</v>
      </c>
      <c r="L140" s="95"/>
      <c r="M140" s="95">
        <f t="shared" si="33"/>
        <v>0</v>
      </c>
      <c r="N140" s="64">
        <f t="shared" si="19"/>
        <v>0</v>
      </c>
      <c r="O140" s="64"/>
      <c r="P140" s="95">
        <f t="shared" si="34"/>
        <v>0</v>
      </c>
      <c r="Q140" s="64"/>
      <c r="R140" s="95">
        <f t="shared" si="35"/>
        <v>0</v>
      </c>
      <c r="S140" s="64"/>
    </row>
    <row r="141" spans="1:19" x14ac:dyDescent="0.2">
      <c r="A141" s="1"/>
      <c r="B141" s="138"/>
      <c r="C141" s="133"/>
      <c r="D141" s="135"/>
      <c r="E141" s="148"/>
      <c r="F141" s="149"/>
      <c r="G141" s="150"/>
      <c r="H141" s="74"/>
      <c r="I141" s="74"/>
      <c r="J141" s="113"/>
      <c r="K141" s="100">
        <f t="shared" si="32"/>
        <v>0</v>
      </c>
      <c r="L141" s="95"/>
      <c r="M141" s="95">
        <f t="shared" si="33"/>
        <v>0</v>
      </c>
      <c r="N141" s="64">
        <f t="shared" si="19"/>
        <v>0</v>
      </c>
      <c r="O141" s="64"/>
      <c r="P141" s="95">
        <f t="shared" si="34"/>
        <v>0</v>
      </c>
      <c r="Q141" s="64"/>
      <c r="R141" s="95">
        <f t="shared" si="35"/>
        <v>0</v>
      </c>
      <c r="S141" s="64"/>
    </row>
    <row r="142" spans="1:19" x14ac:dyDescent="0.2">
      <c r="A142" s="211"/>
      <c r="B142" s="138"/>
      <c r="C142" s="133"/>
      <c r="D142" s="135"/>
      <c r="E142" s="2"/>
      <c r="F142" s="98"/>
      <c r="G142" s="99"/>
      <c r="H142" s="74"/>
      <c r="I142" s="74"/>
      <c r="J142" s="113"/>
      <c r="K142" s="100">
        <f t="shared" si="32"/>
        <v>0</v>
      </c>
      <c r="L142" s="95"/>
      <c r="M142" s="95">
        <f t="shared" si="33"/>
        <v>0</v>
      </c>
      <c r="N142" s="64">
        <f t="shared" si="19"/>
        <v>0</v>
      </c>
      <c r="O142" s="64"/>
      <c r="P142" s="95">
        <f t="shared" si="34"/>
        <v>0</v>
      </c>
      <c r="Q142" s="64"/>
      <c r="R142" s="95">
        <f t="shared" si="35"/>
        <v>0</v>
      </c>
      <c r="S142" s="64"/>
    </row>
    <row r="143" spans="1:19" x14ac:dyDescent="0.2">
      <c r="A143" s="211"/>
      <c r="B143" s="138"/>
      <c r="C143" s="133"/>
      <c r="D143" s="135"/>
      <c r="E143" s="2"/>
      <c r="F143" s="209"/>
      <c r="G143" s="99"/>
      <c r="H143" s="74"/>
      <c r="I143" s="74"/>
      <c r="J143" s="113"/>
      <c r="K143" s="100">
        <f t="shared" si="32"/>
        <v>0</v>
      </c>
      <c r="L143" s="95"/>
      <c r="M143" s="95">
        <f t="shared" si="33"/>
        <v>0</v>
      </c>
      <c r="N143" s="64">
        <f t="shared" si="19"/>
        <v>0</v>
      </c>
      <c r="O143" s="64"/>
      <c r="P143" s="95">
        <f t="shared" si="34"/>
        <v>0</v>
      </c>
      <c r="Q143" s="64"/>
      <c r="R143" s="95">
        <f t="shared" si="35"/>
        <v>0</v>
      </c>
      <c r="S143" s="64"/>
    </row>
    <row r="144" spans="1:19" x14ac:dyDescent="0.2">
      <c r="A144" s="211"/>
      <c r="B144" s="200"/>
      <c r="C144" s="133"/>
      <c r="D144" s="135"/>
      <c r="E144" s="2"/>
      <c r="F144" s="98"/>
      <c r="G144" s="99"/>
      <c r="H144" s="74"/>
      <c r="I144" s="74"/>
      <c r="J144" s="113"/>
      <c r="K144" s="100">
        <f t="shared" si="32"/>
        <v>0</v>
      </c>
      <c r="L144" s="95"/>
      <c r="M144" s="95">
        <f t="shared" si="33"/>
        <v>0</v>
      </c>
      <c r="N144" s="64">
        <f t="shared" si="19"/>
        <v>0</v>
      </c>
      <c r="O144" s="64"/>
      <c r="P144" s="95">
        <f t="shared" si="34"/>
        <v>0</v>
      </c>
      <c r="Q144" s="64"/>
      <c r="R144" s="95">
        <f t="shared" si="35"/>
        <v>0</v>
      </c>
      <c r="S144" s="64"/>
    </row>
    <row r="145" spans="1:19" x14ac:dyDescent="0.2">
      <c r="A145" s="211"/>
      <c r="B145" s="200"/>
      <c r="C145" s="133"/>
      <c r="D145" s="135"/>
      <c r="E145" s="2"/>
      <c r="F145" s="98"/>
      <c r="G145" s="99"/>
      <c r="H145" s="74"/>
      <c r="I145" s="74"/>
      <c r="J145" s="113"/>
      <c r="K145" s="100">
        <f t="shared" si="32"/>
        <v>0</v>
      </c>
      <c r="L145" s="95"/>
      <c r="M145" s="95">
        <f t="shared" si="33"/>
        <v>0</v>
      </c>
      <c r="N145" s="64">
        <f t="shared" si="19"/>
        <v>0</v>
      </c>
      <c r="O145" s="64"/>
      <c r="P145" s="95">
        <f t="shared" si="34"/>
        <v>0</v>
      </c>
      <c r="Q145" s="64"/>
      <c r="R145" s="95">
        <f t="shared" si="35"/>
        <v>0</v>
      </c>
      <c r="S145" s="64"/>
    </row>
    <row r="146" spans="1:19" x14ac:dyDescent="0.2">
      <c r="A146" s="211"/>
      <c r="B146" s="200"/>
      <c r="C146" s="133"/>
      <c r="D146" s="135"/>
      <c r="E146" s="2"/>
      <c r="F146" s="98"/>
      <c r="G146" s="99"/>
      <c r="H146" s="74"/>
      <c r="I146" s="74"/>
      <c r="J146" s="113"/>
      <c r="K146" s="100">
        <f t="shared" si="32"/>
        <v>0</v>
      </c>
      <c r="L146" s="95"/>
      <c r="M146" s="95">
        <f t="shared" si="33"/>
        <v>0</v>
      </c>
      <c r="N146" s="64">
        <f t="shared" si="19"/>
        <v>0</v>
      </c>
      <c r="O146" s="64"/>
      <c r="P146" s="95">
        <f t="shared" si="34"/>
        <v>0</v>
      </c>
      <c r="Q146" s="64"/>
      <c r="R146" s="95">
        <f t="shared" si="35"/>
        <v>0</v>
      </c>
      <c r="S146" s="64"/>
    </row>
    <row r="147" spans="1:19" x14ac:dyDescent="0.2">
      <c r="A147" s="211"/>
      <c r="B147" s="200"/>
      <c r="C147" s="133"/>
      <c r="D147" s="135"/>
      <c r="E147" s="2"/>
      <c r="F147" s="2"/>
      <c r="G147" s="99"/>
      <c r="H147" s="74"/>
      <c r="I147" s="74"/>
      <c r="J147" s="113"/>
      <c r="K147" s="100">
        <f t="shared" si="32"/>
        <v>0</v>
      </c>
      <c r="L147" s="95"/>
      <c r="M147" s="95">
        <f t="shared" si="33"/>
        <v>0</v>
      </c>
      <c r="N147" s="64">
        <f t="shared" si="19"/>
        <v>0</v>
      </c>
      <c r="O147" s="64"/>
      <c r="P147" s="95">
        <f t="shared" si="34"/>
        <v>0</v>
      </c>
      <c r="Q147" s="64"/>
      <c r="R147" s="95">
        <f t="shared" si="35"/>
        <v>0</v>
      </c>
      <c r="S147" s="64"/>
    </row>
    <row r="148" spans="1:19" x14ac:dyDescent="0.2">
      <c r="A148" s="211"/>
      <c r="B148" s="200"/>
      <c r="C148" s="133"/>
      <c r="D148" s="135"/>
      <c r="E148" s="2"/>
      <c r="F148" s="98"/>
      <c r="G148" s="99"/>
      <c r="H148" s="74"/>
      <c r="I148" s="74"/>
      <c r="J148" s="113"/>
      <c r="K148" s="100">
        <f t="shared" si="32"/>
        <v>0</v>
      </c>
      <c r="L148" s="95"/>
      <c r="M148" s="95">
        <f t="shared" si="33"/>
        <v>0</v>
      </c>
      <c r="N148" s="64">
        <f t="shared" si="19"/>
        <v>0</v>
      </c>
      <c r="O148" s="64"/>
      <c r="P148" s="95">
        <f t="shared" si="34"/>
        <v>0</v>
      </c>
      <c r="Q148" s="64"/>
      <c r="R148" s="95">
        <f t="shared" si="35"/>
        <v>0</v>
      </c>
      <c r="S148" s="64"/>
    </row>
    <row r="149" spans="1:19" x14ac:dyDescent="0.2">
      <c r="A149" s="211"/>
      <c r="B149" s="200"/>
      <c r="C149" s="133"/>
      <c r="D149" s="135"/>
      <c r="E149" s="2"/>
      <c r="F149" s="98"/>
      <c r="G149" s="99"/>
      <c r="H149" s="74"/>
      <c r="I149" s="74"/>
      <c r="J149" s="113"/>
      <c r="K149" s="100">
        <f t="shared" si="32"/>
        <v>0</v>
      </c>
      <c r="L149" s="95"/>
      <c r="M149" s="95">
        <f t="shared" si="33"/>
        <v>0</v>
      </c>
      <c r="N149" s="64">
        <f t="shared" si="19"/>
        <v>0</v>
      </c>
      <c r="O149" s="64"/>
      <c r="P149" s="95">
        <f t="shared" si="34"/>
        <v>0</v>
      </c>
      <c r="Q149" s="64"/>
      <c r="R149" s="95">
        <f t="shared" si="35"/>
        <v>0</v>
      </c>
      <c r="S149" s="64"/>
    </row>
    <row r="150" spans="1:19" x14ac:dyDescent="0.2">
      <c r="A150" s="211"/>
      <c r="B150" s="200"/>
      <c r="C150" s="133"/>
      <c r="D150" s="135"/>
      <c r="E150" s="2"/>
      <c r="F150" s="98"/>
      <c r="G150" s="99"/>
      <c r="H150" s="74"/>
      <c r="I150" s="74"/>
      <c r="J150" s="113"/>
      <c r="K150" s="100">
        <f t="shared" si="32"/>
        <v>0</v>
      </c>
      <c r="L150" s="95"/>
      <c r="M150" s="95">
        <f t="shared" si="33"/>
        <v>0</v>
      </c>
      <c r="N150" s="64">
        <f t="shared" si="19"/>
        <v>0</v>
      </c>
      <c r="O150" s="64"/>
      <c r="P150" s="95">
        <f t="shared" si="34"/>
        <v>0</v>
      </c>
      <c r="Q150" s="64"/>
      <c r="R150" s="95">
        <f t="shared" si="35"/>
        <v>0</v>
      </c>
      <c r="S150" s="64"/>
    </row>
    <row r="151" spans="1:19" x14ac:dyDescent="0.2">
      <c r="A151" s="211"/>
      <c r="B151" s="200"/>
      <c r="C151" s="133"/>
      <c r="D151" s="135"/>
      <c r="E151" s="2"/>
      <c r="F151" s="98"/>
      <c r="G151" s="99"/>
      <c r="H151" s="74"/>
      <c r="I151" s="74"/>
      <c r="J151" s="113"/>
      <c r="K151" s="100">
        <f t="shared" si="32"/>
        <v>0</v>
      </c>
      <c r="L151" s="95"/>
      <c r="M151" s="95">
        <f t="shared" si="33"/>
        <v>0</v>
      </c>
      <c r="N151" s="64">
        <f t="shared" si="19"/>
        <v>0</v>
      </c>
      <c r="O151" s="64"/>
      <c r="P151" s="95">
        <f t="shared" si="34"/>
        <v>0</v>
      </c>
      <c r="Q151" s="64"/>
      <c r="R151" s="95">
        <f t="shared" si="35"/>
        <v>0</v>
      </c>
      <c r="S151" s="64"/>
    </row>
    <row r="152" spans="1:19" x14ac:dyDescent="0.2">
      <c r="A152" s="211"/>
      <c r="B152" s="200"/>
      <c r="C152" s="133"/>
      <c r="D152" s="135"/>
      <c r="E152" s="2"/>
      <c r="F152" s="98"/>
      <c r="G152" s="99"/>
      <c r="H152" s="74"/>
      <c r="I152" s="74"/>
      <c r="J152" s="113"/>
      <c r="K152" s="100">
        <f t="shared" si="32"/>
        <v>0</v>
      </c>
      <c r="L152" s="95"/>
      <c r="M152" s="95">
        <f t="shared" si="33"/>
        <v>0</v>
      </c>
      <c r="N152" s="64">
        <f t="shared" si="19"/>
        <v>0</v>
      </c>
      <c r="O152" s="64"/>
      <c r="P152" s="95">
        <f t="shared" si="34"/>
        <v>0</v>
      </c>
      <c r="Q152" s="64"/>
      <c r="R152" s="95">
        <f t="shared" si="35"/>
        <v>0</v>
      </c>
      <c r="S152" s="64"/>
    </row>
    <row r="153" spans="1:19" x14ac:dyDescent="0.2">
      <c r="A153" s="211"/>
      <c r="B153" s="200"/>
      <c r="C153" s="133"/>
      <c r="D153" s="135"/>
      <c r="E153" s="2"/>
      <c r="F153" s="98"/>
      <c r="G153" s="99"/>
      <c r="H153" s="74"/>
      <c r="I153" s="74"/>
      <c r="J153" s="113"/>
      <c r="K153" s="100">
        <f t="shared" si="32"/>
        <v>0</v>
      </c>
      <c r="L153" s="95"/>
      <c r="M153" s="95">
        <f t="shared" si="33"/>
        <v>0</v>
      </c>
      <c r="N153" s="64">
        <f t="shared" si="19"/>
        <v>0</v>
      </c>
      <c r="O153" s="64"/>
      <c r="P153" s="95">
        <f t="shared" si="34"/>
        <v>0</v>
      </c>
      <c r="Q153" s="64"/>
      <c r="R153" s="95">
        <f t="shared" si="35"/>
        <v>0</v>
      </c>
      <c r="S153" s="64"/>
    </row>
    <row r="154" spans="1:19" x14ac:dyDescent="0.2">
      <c r="A154" s="211"/>
      <c r="B154" s="200"/>
      <c r="C154" s="133"/>
      <c r="D154" s="135"/>
      <c r="E154" s="2"/>
      <c r="F154" s="98"/>
      <c r="G154" s="99"/>
      <c r="H154" s="74"/>
      <c r="I154" s="74"/>
      <c r="J154" s="113"/>
      <c r="K154" s="100">
        <f t="shared" ref="K154:K161" si="36">H154+I154+J154+M154</f>
        <v>0</v>
      </c>
      <c r="L154" s="95"/>
      <c r="M154" s="95">
        <f t="shared" ref="M154:M161" si="37">SUM(N154:S154)</f>
        <v>0</v>
      </c>
      <c r="N154" s="64">
        <f t="shared" si="19"/>
        <v>0</v>
      </c>
      <c r="O154" s="64"/>
      <c r="P154" s="95">
        <f t="shared" ref="P154:P162" si="38">+I154*0.13</f>
        <v>0</v>
      </c>
      <c r="Q154" s="64"/>
      <c r="R154" s="95">
        <f t="shared" ref="R154:R162" si="39">J154*0.25</f>
        <v>0</v>
      </c>
      <c r="S154" s="64"/>
    </row>
    <row r="155" spans="1:19" x14ac:dyDescent="0.2">
      <c r="A155" s="211"/>
      <c r="B155" s="200"/>
      <c r="C155" s="133"/>
      <c r="D155" s="135"/>
      <c r="E155" s="2"/>
      <c r="F155" s="98"/>
      <c r="G155" s="99"/>
      <c r="H155" s="74"/>
      <c r="I155" s="74"/>
      <c r="J155" s="113"/>
      <c r="K155" s="100">
        <f t="shared" si="36"/>
        <v>0</v>
      </c>
      <c r="L155" s="95"/>
      <c r="M155" s="95">
        <f t="shared" si="37"/>
        <v>0</v>
      </c>
      <c r="N155" s="64">
        <f t="shared" si="19"/>
        <v>0</v>
      </c>
      <c r="O155" s="64"/>
      <c r="P155" s="95">
        <f t="shared" si="38"/>
        <v>0</v>
      </c>
      <c r="Q155" s="64"/>
      <c r="R155" s="95">
        <f t="shared" si="39"/>
        <v>0</v>
      </c>
      <c r="S155" s="64"/>
    </row>
    <row r="156" spans="1:19" x14ac:dyDescent="0.2">
      <c r="A156" s="211"/>
      <c r="B156" s="200"/>
      <c r="C156" s="133"/>
      <c r="D156" s="135"/>
      <c r="E156" s="2"/>
      <c r="F156" s="98"/>
      <c r="G156" s="99"/>
      <c r="H156" s="74"/>
      <c r="I156" s="74"/>
      <c r="J156" s="113"/>
      <c r="K156" s="100">
        <f t="shared" si="36"/>
        <v>0</v>
      </c>
      <c r="L156" s="95"/>
      <c r="M156" s="95">
        <f t="shared" si="37"/>
        <v>0</v>
      </c>
      <c r="N156" s="64">
        <f t="shared" si="19"/>
        <v>0</v>
      </c>
      <c r="O156" s="64"/>
      <c r="P156" s="95">
        <f t="shared" si="38"/>
        <v>0</v>
      </c>
      <c r="Q156" s="64"/>
      <c r="R156" s="95">
        <f t="shared" si="39"/>
        <v>0</v>
      </c>
      <c r="S156" s="64"/>
    </row>
    <row r="157" spans="1:19" ht="13.5" thickBot="1" x14ac:dyDescent="0.25">
      <c r="A157" s="199">
        <v>0</v>
      </c>
      <c r="B157" s="202">
        <v>0</v>
      </c>
      <c r="C157" s="162"/>
      <c r="D157" s="163"/>
      <c r="E157" s="175"/>
      <c r="F157" s="176"/>
      <c r="G157" s="177"/>
      <c r="H157" s="74"/>
      <c r="I157" s="74"/>
      <c r="J157" s="113"/>
      <c r="K157" s="100">
        <f t="shared" si="36"/>
        <v>0</v>
      </c>
      <c r="L157" s="95"/>
      <c r="M157" s="95">
        <f t="shared" si="37"/>
        <v>0</v>
      </c>
      <c r="N157" s="64">
        <f t="shared" ref="N157:N206" si="40">H157*0.05</f>
        <v>0</v>
      </c>
      <c r="O157" s="64"/>
      <c r="P157" s="95">
        <f t="shared" si="38"/>
        <v>0</v>
      </c>
      <c r="Q157" s="64"/>
      <c r="R157" s="95">
        <f t="shared" si="39"/>
        <v>0</v>
      </c>
      <c r="S157" s="64"/>
    </row>
    <row r="158" spans="1:19" x14ac:dyDescent="0.2">
      <c r="A158" s="120">
        <v>0</v>
      </c>
      <c r="B158" s="136">
        <v>0</v>
      </c>
      <c r="C158" s="137"/>
      <c r="D158" s="144"/>
      <c r="E158" s="145"/>
      <c r="F158" s="146"/>
      <c r="G158" s="147"/>
      <c r="H158" s="74"/>
      <c r="I158" s="74"/>
      <c r="J158" s="113"/>
      <c r="K158" s="100">
        <f t="shared" si="36"/>
        <v>0</v>
      </c>
      <c r="L158" s="95"/>
      <c r="M158" s="95">
        <f t="shared" si="37"/>
        <v>0</v>
      </c>
      <c r="N158" s="64">
        <f t="shared" si="40"/>
        <v>0</v>
      </c>
      <c r="O158" s="64"/>
      <c r="P158" s="95">
        <f t="shared" si="38"/>
        <v>0</v>
      </c>
      <c r="Q158" s="64"/>
      <c r="R158" s="95">
        <f t="shared" si="39"/>
        <v>0</v>
      </c>
      <c r="S158" s="64"/>
    </row>
    <row r="159" spans="1:19" x14ac:dyDescent="0.2">
      <c r="A159" s="210">
        <v>0</v>
      </c>
      <c r="B159" s="365" t="s">
        <v>703</v>
      </c>
      <c r="C159" s="366"/>
      <c r="D159" s="366"/>
      <c r="E159" s="366"/>
      <c r="F159" s="367"/>
      <c r="G159" s="150"/>
      <c r="H159" s="74"/>
      <c r="I159" s="74"/>
      <c r="J159" s="113"/>
      <c r="K159" s="100">
        <f t="shared" si="36"/>
        <v>0</v>
      </c>
      <c r="L159" s="95"/>
      <c r="M159" s="95">
        <f t="shared" si="37"/>
        <v>0</v>
      </c>
      <c r="N159" s="64">
        <f t="shared" si="40"/>
        <v>0</v>
      </c>
      <c r="O159" s="64"/>
      <c r="P159" s="95">
        <f t="shared" si="38"/>
        <v>0</v>
      </c>
      <c r="Q159" s="64"/>
      <c r="R159" s="95">
        <f t="shared" si="39"/>
        <v>0</v>
      </c>
      <c r="S159" s="64"/>
    </row>
    <row r="160" spans="1:19" ht="13.5" thickBot="1" x14ac:dyDescent="0.25">
      <c r="A160" s="155">
        <v>0</v>
      </c>
      <c r="B160" s="157">
        <v>0</v>
      </c>
      <c r="C160" s="158"/>
      <c r="D160" s="159"/>
      <c r="E160" s="13"/>
      <c r="F160" s="183"/>
      <c r="G160" s="184"/>
      <c r="H160" s="74"/>
      <c r="I160" s="74"/>
      <c r="J160" s="113"/>
      <c r="K160" s="100">
        <f t="shared" si="36"/>
        <v>0</v>
      </c>
      <c r="L160" s="95"/>
      <c r="M160" s="95">
        <f t="shared" si="37"/>
        <v>0</v>
      </c>
      <c r="N160" s="64">
        <f t="shared" si="40"/>
        <v>0</v>
      </c>
      <c r="O160" s="64"/>
      <c r="P160" s="95">
        <f t="shared" si="38"/>
        <v>0</v>
      </c>
      <c r="Q160" s="64"/>
      <c r="R160" s="95">
        <f t="shared" si="39"/>
        <v>0</v>
      </c>
      <c r="S160" s="64"/>
    </row>
    <row r="161" spans="1:19" x14ac:dyDescent="0.2">
      <c r="A161" s="199">
        <v>0</v>
      </c>
      <c r="B161" s="200">
        <v>0</v>
      </c>
      <c r="C161" s="133"/>
      <c r="D161" s="135"/>
      <c r="E161" s="148"/>
      <c r="F161" s="149"/>
      <c r="G161" s="150"/>
      <c r="H161" s="74"/>
      <c r="I161" s="74"/>
      <c r="J161" s="113"/>
      <c r="K161" s="100">
        <f t="shared" si="36"/>
        <v>0</v>
      </c>
      <c r="L161" s="95"/>
      <c r="M161" s="95">
        <f t="shared" si="37"/>
        <v>0</v>
      </c>
      <c r="N161" s="64">
        <f t="shared" si="40"/>
        <v>0</v>
      </c>
      <c r="O161" s="64"/>
      <c r="P161" s="95">
        <f t="shared" si="38"/>
        <v>0</v>
      </c>
      <c r="Q161" s="64"/>
      <c r="R161" s="95">
        <f t="shared" si="39"/>
        <v>0</v>
      </c>
      <c r="S161" s="64"/>
    </row>
    <row r="162" spans="1:19" x14ac:dyDescent="0.2">
      <c r="A162" s="211"/>
      <c r="B162" s="200"/>
      <c r="C162" s="133"/>
      <c r="D162" s="135"/>
      <c r="E162" s="2"/>
      <c r="F162" s="98"/>
      <c r="G162" s="99"/>
      <c r="H162" s="74"/>
      <c r="I162" s="74"/>
      <c r="J162" s="113"/>
      <c r="K162" s="100">
        <f>H162+I162+J162+M162</f>
        <v>0</v>
      </c>
      <c r="L162" s="95"/>
      <c r="M162" s="95">
        <f>SUM(N162:S162)</f>
        <v>0</v>
      </c>
      <c r="N162" s="64">
        <f t="shared" si="40"/>
        <v>0</v>
      </c>
      <c r="O162" s="64"/>
      <c r="P162" s="95">
        <f t="shared" si="38"/>
        <v>0</v>
      </c>
      <c r="Q162" s="64"/>
      <c r="R162" s="95">
        <f t="shared" si="39"/>
        <v>0</v>
      </c>
      <c r="S162" s="64"/>
    </row>
    <row r="163" spans="1:19" x14ac:dyDescent="0.2">
      <c r="A163" s="211"/>
      <c r="B163" s="208"/>
      <c r="C163" s="133"/>
      <c r="D163" s="135"/>
      <c r="E163" s="2"/>
      <c r="F163" s="98"/>
      <c r="G163" s="99"/>
      <c r="H163" s="74"/>
      <c r="I163" s="74"/>
      <c r="J163" s="113"/>
      <c r="K163" s="100">
        <f t="shared" ref="K163:K178" si="41">H163+I163+J163+M163</f>
        <v>0</v>
      </c>
      <c r="L163" s="95"/>
      <c r="M163" s="95">
        <f t="shared" ref="M163:M178" si="42">SUM(N163:S163)</f>
        <v>0</v>
      </c>
      <c r="N163" s="64">
        <f t="shared" si="40"/>
        <v>0</v>
      </c>
      <c r="O163" s="64"/>
      <c r="P163" s="95">
        <f t="shared" ref="P163:P178" si="43">+I163*0.13</f>
        <v>0</v>
      </c>
      <c r="Q163" s="64"/>
      <c r="R163" s="95">
        <f t="shared" ref="R163:R178" si="44">J163*0.25</f>
        <v>0</v>
      </c>
      <c r="S163" s="64"/>
    </row>
    <row r="164" spans="1:19" x14ac:dyDescent="0.2">
      <c r="A164" s="211"/>
      <c r="B164" s="208"/>
      <c r="C164" s="133"/>
      <c r="D164" s="135"/>
      <c r="E164" s="2"/>
      <c r="F164" s="98"/>
      <c r="G164" s="99"/>
      <c r="H164" s="74"/>
      <c r="I164" s="74"/>
      <c r="J164" s="113"/>
      <c r="K164" s="100">
        <f t="shared" si="41"/>
        <v>0</v>
      </c>
      <c r="L164" s="95"/>
      <c r="M164" s="95">
        <f t="shared" si="42"/>
        <v>0</v>
      </c>
      <c r="N164" s="64">
        <f t="shared" si="40"/>
        <v>0</v>
      </c>
      <c r="O164" s="64"/>
      <c r="P164" s="95">
        <f t="shared" si="43"/>
        <v>0</v>
      </c>
      <c r="Q164" s="64"/>
      <c r="R164" s="95">
        <f t="shared" si="44"/>
        <v>0</v>
      </c>
      <c r="S164" s="64"/>
    </row>
    <row r="165" spans="1:19" x14ac:dyDescent="0.2">
      <c r="A165" s="211"/>
      <c r="B165" s="208"/>
      <c r="C165" s="133"/>
      <c r="D165" s="135"/>
      <c r="E165" s="2"/>
      <c r="F165" s="209"/>
      <c r="G165" s="99"/>
      <c r="H165" s="74"/>
      <c r="I165" s="74"/>
      <c r="J165" s="113"/>
      <c r="K165" s="100">
        <f t="shared" si="41"/>
        <v>0</v>
      </c>
      <c r="L165" s="95"/>
      <c r="M165" s="95">
        <f t="shared" si="42"/>
        <v>0</v>
      </c>
      <c r="N165" s="64">
        <f t="shared" si="40"/>
        <v>0</v>
      </c>
      <c r="O165" s="64"/>
      <c r="P165" s="95">
        <f t="shared" si="43"/>
        <v>0</v>
      </c>
      <c r="Q165" s="64"/>
      <c r="R165" s="95">
        <f t="shared" si="44"/>
        <v>0</v>
      </c>
      <c r="S165" s="64"/>
    </row>
    <row r="166" spans="1:19" x14ac:dyDescent="0.2">
      <c r="A166" s="211"/>
      <c r="B166" s="208"/>
      <c r="C166" s="133"/>
      <c r="D166" s="135"/>
      <c r="E166" s="2"/>
      <c r="F166" s="2"/>
      <c r="G166" s="99"/>
      <c r="H166" s="74"/>
      <c r="I166" s="74"/>
      <c r="J166" s="113"/>
      <c r="K166" s="100">
        <f t="shared" si="41"/>
        <v>0</v>
      </c>
      <c r="L166" s="95"/>
      <c r="M166" s="95">
        <f t="shared" si="42"/>
        <v>0</v>
      </c>
      <c r="N166" s="64">
        <f t="shared" si="40"/>
        <v>0</v>
      </c>
      <c r="O166" s="64"/>
      <c r="P166" s="95">
        <f t="shared" si="43"/>
        <v>0</v>
      </c>
      <c r="Q166" s="64"/>
      <c r="R166" s="95">
        <f t="shared" si="44"/>
        <v>0</v>
      </c>
      <c r="S166" s="64"/>
    </row>
    <row r="167" spans="1:19" x14ac:dyDescent="0.2">
      <c r="A167" s="211"/>
      <c r="B167" s="208"/>
      <c r="C167" s="133"/>
      <c r="D167" s="135"/>
      <c r="E167" s="2"/>
      <c r="F167" s="98"/>
      <c r="G167" s="99"/>
      <c r="H167" s="74"/>
      <c r="I167" s="74"/>
      <c r="J167" s="113"/>
      <c r="K167" s="100">
        <f t="shared" si="41"/>
        <v>0</v>
      </c>
      <c r="L167" s="95"/>
      <c r="M167" s="95">
        <f t="shared" si="42"/>
        <v>0</v>
      </c>
      <c r="N167" s="64">
        <f t="shared" si="40"/>
        <v>0</v>
      </c>
      <c r="O167" s="64"/>
      <c r="P167" s="95">
        <f t="shared" si="43"/>
        <v>0</v>
      </c>
      <c r="Q167" s="64"/>
      <c r="R167" s="95">
        <f t="shared" si="44"/>
        <v>0</v>
      </c>
      <c r="S167" s="64"/>
    </row>
    <row r="168" spans="1:19" x14ac:dyDescent="0.2">
      <c r="A168" s="211"/>
      <c r="B168" s="208"/>
      <c r="C168" s="133"/>
      <c r="D168" s="135"/>
      <c r="E168" s="2"/>
      <c r="F168" s="98"/>
      <c r="G168" s="99"/>
      <c r="H168" s="74"/>
      <c r="I168" s="74"/>
      <c r="J168" s="113"/>
      <c r="K168" s="100">
        <f t="shared" si="41"/>
        <v>0</v>
      </c>
      <c r="L168" s="95"/>
      <c r="M168" s="95">
        <f t="shared" si="42"/>
        <v>0</v>
      </c>
      <c r="N168" s="64">
        <f t="shared" si="40"/>
        <v>0</v>
      </c>
      <c r="O168" s="64"/>
      <c r="P168" s="95">
        <f t="shared" si="43"/>
        <v>0</v>
      </c>
      <c r="Q168" s="64"/>
      <c r="R168" s="95">
        <f t="shared" si="44"/>
        <v>0</v>
      </c>
      <c r="S168" s="64"/>
    </row>
    <row r="169" spans="1:19" x14ac:dyDescent="0.2">
      <c r="A169" s="211"/>
      <c r="B169" s="208"/>
      <c r="C169" s="133"/>
      <c r="D169" s="135"/>
      <c r="E169" s="2"/>
      <c r="F169" s="98"/>
      <c r="G169" s="99"/>
      <c r="H169" s="74"/>
      <c r="I169" s="74"/>
      <c r="J169" s="113"/>
      <c r="K169" s="100">
        <f t="shared" si="41"/>
        <v>0</v>
      </c>
      <c r="L169" s="95"/>
      <c r="M169" s="95">
        <f t="shared" si="42"/>
        <v>0</v>
      </c>
      <c r="N169" s="64">
        <f t="shared" si="40"/>
        <v>0</v>
      </c>
      <c r="O169" s="64"/>
      <c r="P169" s="95">
        <f t="shared" si="43"/>
        <v>0</v>
      </c>
      <c r="Q169" s="64"/>
      <c r="R169" s="95">
        <f t="shared" si="44"/>
        <v>0</v>
      </c>
      <c r="S169" s="64"/>
    </row>
    <row r="170" spans="1:19" x14ac:dyDescent="0.2">
      <c r="A170" s="211"/>
      <c r="B170" s="208"/>
      <c r="C170" s="133"/>
      <c r="D170" s="135"/>
      <c r="E170" s="2"/>
      <c r="F170" s="98"/>
      <c r="G170" s="99"/>
      <c r="H170" s="74"/>
      <c r="I170" s="74"/>
      <c r="J170" s="113"/>
      <c r="K170" s="100">
        <f t="shared" si="41"/>
        <v>0</v>
      </c>
      <c r="L170" s="95"/>
      <c r="M170" s="95">
        <f t="shared" si="42"/>
        <v>0</v>
      </c>
      <c r="N170" s="64">
        <f t="shared" si="40"/>
        <v>0</v>
      </c>
      <c r="O170" s="64"/>
      <c r="P170" s="95">
        <f t="shared" si="43"/>
        <v>0</v>
      </c>
      <c r="Q170" s="64"/>
      <c r="R170" s="95">
        <f t="shared" si="44"/>
        <v>0</v>
      </c>
      <c r="S170" s="64"/>
    </row>
    <row r="171" spans="1:19" x14ac:dyDescent="0.2">
      <c r="A171" s="211"/>
      <c r="B171" s="208"/>
      <c r="C171" s="133"/>
      <c r="D171" s="135"/>
      <c r="E171" s="2"/>
      <c r="F171" s="98"/>
      <c r="G171" s="99"/>
      <c r="H171" s="74"/>
      <c r="I171" s="74"/>
      <c r="J171" s="113"/>
      <c r="K171" s="100">
        <f t="shared" si="41"/>
        <v>0</v>
      </c>
      <c r="L171" s="95"/>
      <c r="M171" s="95">
        <f t="shared" si="42"/>
        <v>0</v>
      </c>
      <c r="N171" s="64">
        <f t="shared" si="40"/>
        <v>0</v>
      </c>
      <c r="O171" s="64"/>
      <c r="P171" s="95">
        <f t="shared" si="43"/>
        <v>0</v>
      </c>
      <c r="Q171" s="64"/>
      <c r="R171" s="95">
        <f t="shared" si="44"/>
        <v>0</v>
      </c>
      <c r="S171" s="64"/>
    </row>
    <row r="172" spans="1:19" x14ac:dyDescent="0.2">
      <c r="A172" s="211"/>
      <c r="B172" s="222"/>
      <c r="C172" s="133"/>
      <c r="D172" s="135"/>
      <c r="E172" s="2"/>
      <c r="F172" s="98"/>
      <c r="G172" s="99"/>
      <c r="H172" s="74"/>
      <c r="I172" s="74"/>
      <c r="J172" s="113"/>
      <c r="K172" s="100">
        <f t="shared" si="41"/>
        <v>0</v>
      </c>
      <c r="L172" s="95"/>
      <c r="M172" s="95">
        <f t="shared" si="42"/>
        <v>0</v>
      </c>
      <c r="N172" s="64">
        <f t="shared" si="40"/>
        <v>0</v>
      </c>
      <c r="O172" s="64"/>
      <c r="P172" s="95">
        <f t="shared" si="43"/>
        <v>0</v>
      </c>
      <c r="Q172" s="64"/>
      <c r="R172" s="95">
        <f t="shared" si="44"/>
        <v>0</v>
      </c>
      <c r="S172" s="64"/>
    </row>
    <row r="173" spans="1:19" x14ac:dyDescent="0.2">
      <c r="A173" s="211"/>
      <c r="B173" s="222"/>
      <c r="C173" s="133"/>
      <c r="D173" s="135"/>
      <c r="E173" s="2"/>
      <c r="F173" s="98"/>
      <c r="G173" s="99"/>
      <c r="H173" s="74"/>
      <c r="I173" s="74"/>
      <c r="J173" s="113"/>
      <c r="K173" s="100">
        <f t="shared" si="41"/>
        <v>0</v>
      </c>
      <c r="L173" s="95"/>
      <c r="M173" s="95">
        <f t="shared" si="42"/>
        <v>0</v>
      </c>
      <c r="N173" s="64">
        <f t="shared" si="40"/>
        <v>0</v>
      </c>
      <c r="O173" s="64"/>
      <c r="P173" s="95">
        <f t="shared" si="43"/>
        <v>0</v>
      </c>
      <c r="Q173" s="64"/>
      <c r="R173" s="95">
        <f t="shared" si="44"/>
        <v>0</v>
      </c>
      <c r="S173" s="64"/>
    </row>
    <row r="174" spans="1:19" x14ac:dyDescent="0.2">
      <c r="A174" s="211"/>
      <c r="B174" s="222"/>
      <c r="C174" s="133"/>
      <c r="D174" s="135"/>
      <c r="E174" s="2"/>
      <c r="F174" s="98"/>
      <c r="G174" s="99"/>
      <c r="H174" s="74"/>
      <c r="I174" s="74"/>
      <c r="J174" s="113"/>
      <c r="K174" s="100">
        <f t="shared" si="41"/>
        <v>0</v>
      </c>
      <c r="L174" s="95"/>
      <c r="M174" s="95">
        <f t="shared" si="42"/>
        <v>0</v>
      </c>
      <c r="N174" s="64">
        <f t="shared" si="40"/>
        <v>0</v>
      </c>
      <c r="O174" s="64"/>
      <c r="P174" s="95">
        <f t="shared" si="43"/>
        <v>0</v>
      </c>
      <c r="Q174" s="64"/>
      <c r="R174" s="95">
        <f t="shared" si="44"/>
        <v>0</v>
      </c>
      <c r="S174" s="64"/>
    </row>
    <row r="175" spans="1:19" x14ac:dyDescent="0.2">
      <c r="A175" s="211"/>
      <c r="B175" s="222"/>
      <c r="C175" s="133"/>
      <c r="D175" s="135"/>
      <c r="E175" s="2"/>
      <c r="F175" s="98"/>
      <c r="G175" s="99"/>
      <c r="H175" s="74"/>
      <c r="I175" s="74"/>
      <c r="J175" s="113"/>
      <c r="K175" s="100">
        <f t="shared" si="41"/>
        <v>0</v>
      </c>
      <c r="L175" s="95"/>
      <c r="M175" s="95">
        <f t="shared" si="42"/>
        <v>0</v>
      </c>
      <c r="N175" s="64">
        <f t="shared" si="40"/>
        <v>0</v>
      </c>
      <c r="O175" s="64"/>
      <c r="P175" s="95">
        <f t="shared" si="43"/>
        <v>0</v>
      </c>
      <c r="Q175" s="64"/>
      <c r="R175" s="95">
        <f t="shared" si="44"/>
        <v>0</v>
      </c>
      <c r="S175" s="64"/>
    </row>
    <row r="176" spans="1:19" x14ac:dyDescent="0.2">
      <c r="A176" s="211"/>
      <c r="B176" s="222"/>
      <c r="C176" s="133"/>
      <c r="D176" s="135"/>
      <c r="E176" s="2"/>
      <c r="F176" s="98"/>
      <c r="G176" s="99"/>
      <c r="H176" s="74"/>
      <c r="I176" s="74"/>
      <c r="J176" s="113"/>
      <c r="K176" s="100">
        <f t="shared" si="41"/>
        <v>0</v>
      </c>
      <c r="L176" s="95"/>
      <c r="M176" s="95">
        <f t="shared" si="42"/>
        <v>0</v>
      </c>
      <c r="N176" s="64">
        <f t="shared" si="40"/>
        <v>0</v>
      </c>
      <c r="O176" s="64"/>
      <c r="P176" s="95">
        <f t="shared" si="43"/>
        <v>0</v>
      </c>
      <c r="Q176" s="64"/>
      <c r="R176" s="95">
        <f t="shared" si="44"/>
        <v>0</v>
      </c>
      <c r="S176" s="64"/>
    </row>
    <row r="177" spans="1:19" x14ac:dyDescent="0.2">
      <c r="A177" s="211"/>
      <c r="B177" s="208"/>
      <c r="C177" s="133"/>
      <c r="D177" s="135"/>
      <c r="E177" s="2"/>
      <c r="F177" s="2"/>
      <c r="G177" s="99"/>
      <c r="H177" s="74"/>
      <c r="I177" s="74"/>
      <c r="J177" s="113"/>
      <c r="K177" s="100">
        <f t="shared" si="41"/>
        <v>0</v>
      </c>
      <c r="L177" s="95"/>
      <c r="M177" s="95">
        <f t="shared" si="42"/>
        <v>0</v>
      </c>
      <c r="N177" s="64">
        <f t="shared" si="40"/>
        <v>0</v>
      </c>
      <c r="O177" s="64"/>
      <c r="P177" s="95">
        <f t="shared" si="43"/>
        <v>0</v>
      </c>
      <c r="Q177" s="64"/>
      <c r="R177" s="95">
        <f t="shared" si="44"/>
        <v>0</v>
      </c>
      <c r="S177" s="64"/>
    </row>
    <row r="178" spans="1:19" ht="13.5" thickBot="1" x14ac:dyDescent="0.25">
      <c r="B178" s="139"/>
      <c r="C178" s="139"/>
      <c r="D178" s="139"/>
      <c r="E178" s="139"/>
      <c r="F178" s="139"/>
      <c r="G178" s="177"/>
      <c r="H178" s="74"/>
      <c r="I178" s="74"/>
      <c r="J178" s="113"/>
      <c r="K178" s="100">
        <f t="shared" si="41"/>
        <v>0</v>
      </c>
      <c r="L178" s="95"/>
      <c r="M178" s="95">
        <f t="shared" si="42"/>
        <v>0</v>
      </c>
      <c r="N178" s="64">
        <f t="shared" si="40"/>
        <v>0</v>
      </c>
      <c r="O178" s="64"/>
      <c r="P178" s="95">
        <f t="shared" si="43"/>
        <v>0</v>
      </c>
      <c r="Q178" s="64"/>
      <c r="R178" s="95">
        <f t="shared" si="44"/>
        <v>0</v>
      </c>
      <c r="S178" s="64"/>
    </row>
    <row r="179" spans="1:19" x14ac:dyDescent="0.2">
      <c r="A179" s="232"/>
      <c r="B179" s="145"/>
      <c r="C179" s="145"/>
      <c r="D179" s="145"/>
      <c r="E179" s="145"/>
      <c r="F179" s="145"/>
      <c r="G179" s="147"/>
      <c r="H179" s="74"/>
      <c r="I179" s="74"/>
      <c r="J179" s="113"/>
      <c r="K179" s="100">
        <f t="shared" ref="K179:K197" si="45">H179+I179+J179+M179</f>
        <v>0</v>
      </c>
      <c r="L179" s="95"/>
      <c r="M179" s="95">
        <f t="shared" ref="M179:M197" si="46">SUM(N179:S179)</f>
        <v>0</v>
      </c>
      <c r="N179" s="64">
        <f t="shared" si="40"/>
        <v>0</v>
      </c>
      <c r="O179" s="64"/>
      <c r="P179" s="95">
        <f t="shared" ref="P179:P205" si="47">+I179*0.13</f>
        <v>0</v>
      </c>
      <c r="Q179" s="64"/>
      <c r="R179" s="95">
        <f t="shared" ref="R179:R193" si="48">J179*0.25</f>
        <v>0</v>
      </c>
      <c r="S179" s="64"/>
    </row>
    <row r="180" spans="1:19" x14ac:dyDescent="0.2">
      <c r="A180" s="233"/>
      <c r="B180" s="365" t="s">
        <v>704</v>
      </c>
      <c r="C180" s="366"/>
      <c r="D180" s="366"/>
      <c r="E180" s="366"/>
      <c r="F180" s="367"/>
      <c r="G180" s="150"/>
      <c r="H180" s="74"/>
      <c r="I180" s="74"/>
      <c r="J180" s="113"/>
      <c r="K180" s="100">
        <f t="shared" si="45"/>
        <v>0</v>
      </c>
      <c r="L180" s="95"/>
      <c r="M180" s="95">
        <f t="shared" si="46"/>
        <v>0</v>
      </c>
      <c r="N180" s="64">
        <f t="shared" si="40"/>
        <v>0</v>
      </c>
      <c r="O180" s="64"/>
      <c r="P180" s="95">
        <f t="shared" si="47"/>
        <v>0</v>
      </c>
      <c r="Q180" s="64"/>
      <c r="R180" s="95">
        <f t="shared" si="48"/>
        <v>0</v>
      </c>
      <c r="S180" s="64"/>
    </row>
    <row r="181" spans="1:19" ht="13.5" thickBot="1" x14ac:dyDescent="0.25">
      <c r="A181" s="234"/>
      <c r="B181" s="151"/>
      <c r="C181" s="151"/>
      <c r="D181" s="151"/>
      <c r="E181" s="151"/>
      <c r="F181" s="151"/>
      <c r="G181" s="184"/>
      <c r="H181" s="74"/>
      <c r="I181" s="74"/>
      <c r="J181" s="113"/>
      <c r="K181" s="100">
        <f>H181+I181+J181+M181</f>
        <v>0</v>
      </c>
      <c r="L181" s="95"/>
      <c r="M181" s="95">
        <f t="shared" si="46"/>
        <v>0</v>
      </c>
      <c r="N181" s="64">
        <f t="shared" si="40"/>
        <v>0</v>
      </c>
      <c r="O181" s="64"/>
      <c r="P181" s="95">
        <f t="shared" si="47"/>
        <v>0</v>
      </c>
      <c r="Q181" s="64"/>
      <c r="R181" s="95">
        <f t="shared" si="48"/>
        <v>0</v>
      </c>
      <c r="S181" s="64"/>
    </row>
    <row r="182" spans="1:19" x14ac:dyDescent="0.2">
      <c r="B182" s="148"/>
      <c r="C182" s="148"/>
      <c r="D182" s="148"/>
      <c r="E182" s="148"/>
      <c r="F182" s="148"/>
      <c r="G182" s="150"/>
      <c r="H182" s="74"/>
      <c r="I182" s="74"/>
      <c r="J182" s="113"/>
      <c r="K182" s="100">
        <f t="shared" ref="K182:K215" si="49">H182+I182+J182+M182</f>
        <v>0</v>
      </c>
      <c r="L182" s="95"/>
      <c r="M182" s="95">
        <f t="shared" si="46"/>
        <v>0</v>
      </c>
      <c r="N182" s="64">
        <f t="shared" si="40"/>
        <v>0</v>
      </c>
      <c r="O182" s="64"/>
      <c r="P182" s="95">
        <f t="shared" si="47"/>
        <v>0</v>
      </c>
      <c r="Q182" s="64"/>
      <c r="R182" s="95">
        <f t="shared" si="48"/>
        <v>0</v>
      </c>
      <c r="S182" s="64"/>
    </row>
    <row r="183" spans="1:19" x14ac:dyDescent="0.2">
      <c r="A183" s="211"/>
      <c r="B183" s="5"/>
      <c r="C183" s="2"/>
      <c r="D183" s="39"/>
      <c r="E183" s="2"/>
      <c r="F183" s="2"/>
      <c r="G183" s="150"/>
      <c r="H183" s="74"/>
      <c r="I183" s="74"/>
      <c r="J183" s="113"/>
      <c r="K183" s="100">
        <f t="shared" si="49"/>
        <v>0</v>
      </c>
      <c r="L183" s="95"/>
      <c r="M183" s="95">
        <f t="shared" si="46"/>
        <v>0</v>
      </c>
      <c r="N183" s="64">
        <f t="shared" si="40"/>
        <v>0</v>
      </c>
      <c r="O183" s="64"/>
      <c r="P183" s="95">
        <f t="shared" si="47"/>
        <v>0</v>
      </c>
      <c r="Q183" s="64"/>
      <c r="R183" s="95">
        <f t="shared" si="48"/>
        <v>0</v>
      </c>
      <c r="S183" s="64"/>
    </row>
    <row r="184" spans="1:19" x14ac:dyDescent="0.2">
      <c r="A184" s="211"/>
      <c r="B184" s="5"/>
      <c r="C184" s="2"/>
      <c r="D184" s="39"/>
      <c r="E184" s="2"/>
      <c r="F184" s="98"/>
      <c r="G184" s="99"/>
      <c r="H184" s="74"/>
      <c r="I184" s="74"/>
      <c r="J184" s="113"/>
      <c r="K184" s="100">
        <f t="shared" si="49"/>
        <v>0</v>
      </c>
      <c r="L184" s="95"/>
      <c r="M184" s="95">
        <f t="shared" si="46"/>
        <v>0</v>
      </c>
      <c r="N184" s="64">
        <f t="shared" si="40"/>
        <v>0</v>
      </c>
      <c r="O184" s="64"/>
      <c r="P184" s="95">
        <f t="shared" si="47"/>
        <v>0</v>
      </c>
      <c r="Q184" s="64"/>
      <c r="R184" s="95">
        <f t="shared" si="48"/>
        <v>0</v>
      </c>
      <c r="S184" s="64"/>
    </row>
    <row r="185" spans="1:19" x14ac:dyDescent="0.2">
      <c r="A185" s="211"/>
      <c r="B185" s="5"/>
      <c r="C185" s="2"/>
      <c r="D185" s="39"/>
      <c r="E185" s="2"/>
      <c r="F185" s="98"/>
      <c r="G185" s="99"/>
      <c r="H185" s="74"/>
      <c r="I185" s="74"/>
      <c r="J185" s="113"/>
      <c r="K185" s="100">
        <f t="shared" si="49"/>
        <v>0</v>
      </c>
      <c r="L185" s="95"/>
      <c r="M185" s="95">
        <f t="shared" si="46"/>
        <v>0</v>
      </c>
      <c r="N185" s="64">
        <f t="shared" si="40"/>
        <v>0</v>
      </c>
      <c r="O185" s="64"/>
      <c r="P185" s="95">
        <f t="shared" si="47"/>
        <v>0</v>
      </c>
      <c r="Q185" s="64"/>
      <c r="R185" s="95">
        <f t="shared" si="48"/>
        <v>0</v>
      </c>
      <c r="S185" s="64"/>
    </row>
    <row r="186" spans="1:19" x14ac:dyDescent="0.2">
      <c r="A186" s="211"/>
      <c r="B186" s="5"/>
      <c r="C186" s="2"/>
      <c r="D186" s="39"/>
      <c r="E186" s="2"/>
      <c r="F186" s="98"/>
      <c r="G186" s="99"/>
      <c r="H186" s="74"/>
      <c r="I186" s="74"/>
      <c r="J186" s="113"/>
      <c r="K186" s="100">
        <f t="shared" si="49"/>
        <v>0</v>
      </c>
      <c r="L186" s="95"/>
      <c r="M186" s="95">
        <f t="shared" si="46"/>
        <v>0</v>
      </c>
      <c r="N186" s="64">
        <f t="shared" si="40"/>
        <v>0</v>
      </c>
      <c r="O186" s="64"/>
      <c r="P186" s="95">
        <f t="shared" si="47"/>
        <v>0</v>
      </c>
      <c r="Q186" s="64"/>
      <c r="R186" s="95">
        <f t="shared" si="48"/>
        <v>0</v>
      </c>
      <c r="S186" s="64"/>
    </row>
    <row r="187" spans="1:19" x14ac:dyDescent="0.2">
      <c r="A187" s="211"/>
      <c r="B187" s="5"/>
      <c r="C187" s="2"/>
      <c r="D187" s="39"/>
      <c r="E187" s="2"/>
      <c r="F187" s="209"/>
      <c r="G187" s="99"/>
      <c r="H187" s="74"/>
      <c r="I187" s="74"/>
      <c r="J187" s="113"/>
      <c r="K187" s="100">
        <f t="shared" si="49"/>
        <v>0</v>
      </c>
      <c r="L187" s="95"/>
      <c r="M187" s="95">
        <f t="shared" si="46"/>
        <v>0</v>
      </c>
      <c r="N187" s="64">
        <f t="shared" si="40"/>
        <v>0</v>
      </c>
      <c r="O187" s="64"/>
      <c r="P187" s="95">
        <f t="shared" si="47"/>
        <v>0</v>
      </c>
      <c r="Q187" s="64"/>
      <c r="R187" s="95">
        <f t="shared" si="48"/>
        <v>0</v>
      </c>
      <c r="S187" s="64"/>
    </row>
    <row r="188" spans="1:19" x14ac:dyDescent="0.2">
      <c r="A188" s="211"/>
      <c r="B188" s="5"/>
      <c r="C188" s="2"/>
      <c r="D188" s="39"/>
      <c r="E188" s="2"/>
      <c r="F188" s="2"/>
      <c r="G188" s="150"/>
      <c r="H188" s="74"/>
      <c r="I188" s="74"/>
      <c r="J188" s="113"/>
      <c r="K188" s="100">
        <f t="shared" si="49"/>
        <v>0</v>
      </c>
      <c r="L188" s="95"/>
      <c r="M188" s="95">
        <f t="shared" si="46"/>
        <v>0</v>
      </c>
      <c r="N188" s="64">
        <f t="shared" si="40"/>
        <v>0</v>
      </c>
      <c r="O188" s="64"/>
      <c r="P188" s="95">
        <f t="shared" si="47"/>
        <v>0</v>
      </c>
      <c r="Q188" s="64"/>
      <c r="R188" s="95">
        <f t="shared" si="48"/>
        <v>0</v>
      </c>
      <c r="S188" s="64"/>
    </row>
    <row r="189" spans="1:19" x14ac:dyDescent="0.2">
      <c r="A189" s="211"/>
      <c r="B189" s="5"/>
      <c r="C189" s="2"/>
      <c r="D189" s="39"/>
      <c r="E189" s="2"/>
      <c r="F189" s="98"/>
      <c r="G189" s="99"/>
      <c r="H189" s="74"/>
      <c r="I189" s="74"/>
      <c r="J189" s="113"/>
      <c r="K189" s="100">
        <f t="shared" si="49"/>
        <v>0</v>
      </c>
      <c r="L189" s="95"/>
      <c r="M189" s="95">
        <f t="shared" si="46"/>
        <v>0</v>
      </c>
      <c r="N189" s="64">
        <f t="shared" si="40"/>
        <v>0</v>
      </c>
      <c r="O189" s="64"/>
      <c r="P189" s="95">
        <f t="shared" si="47"/>
        <v>0</v>
      </c>
      <c r="Q189" s="64"/>
      <c r="R189" s="95">
        <f t="shared" si="48"/>
        <v>0</v>
      </c>
      <c r="S189" s="64"/>
    </row>
    <row r="190" spans="1:19" x14ac:dyDescent="0.2">
      <c r="A190" s="211"/>
      <c r="B190" s="5"/>
      <c r="C190" s="2"/>
      <c r="D190" s="39"/>
      <c r="E190" s="2"/>
      <c r="F190" s="98"/>
      <c r="G190" s="99"/>
      <c r="H190" s="74"/>
      <c r="I190" s="74"/>
      <c r="J190" s="113"/>
      <c r="K190" s="100">
        <f t="shared" si="49"/>
        <v>0</v>
      </c>
      <c r="L190" s="95"/>
      <c r="M190" s="95">
        <f t="shared" si="46"/>
        <v>0</v>
      </c>
      <c r="N190" s="64">
        <f t="shared" si="40"/>
        <v>0</v>
      </c>
      <c r="O190" s="64"/>
      <c r="P190" s="95">
        <f t="shared" si="47"/>
        <v>0</v>
      </c>
      <c r="Q190" s="64"/>
      <c r="R190" s="95">
        <f t="shared" si="48"/>
        <v>0</v>
      </c>
      <c r="S190" s="64"/>
    </row>
    <row r="191" spans="1:19" x14ac:dyDescent="0.2">
      <c r="A191" s="211"/>
      <c r="B191" s="5"/>
      <c r="C191" s="2"/>
      <c r="D191" s="39"/>
      <c r="E191" s="2"/>
      <c r="F191" s="98"/>
      <c r="G191" s="99"/>
      <c r="H191" s="74"/>
      <c r="I191" s="74"/>
      <c r="J191" s="113"/>
      <c r="K191" s="100">
        <f t="shared" si="49"/>
        <v>0</v>
      </c>
      <c r="L191" s="95"/>
      <c r="M191" s="95">
        <f t="shared" si="46"/>
        <v>0</v>
      </c>
      <c r="N191" s="64">
        <f t="shared" si="40"/>
        <v>0</v>
      </c>
      <c r="O191" s="64"/>
      <c r="P191" s="95">
        <f t="shared" si="47"/>
        <v>0</v>
      </c>
      <c r="Q191" s="64"/>
      <c r="R191" s="95">
        <f t="shared" si="48"/>
        <v>0</v>
      </c>
      <c r="S191" s="64"/>
    </row>
    <row r="192" spans="1:19" x14ac:dyDescent="0.2">
      <c r="A192" s="211"/>
      <c r="B192" s="5"/>
      <c r="C192" s="2"/>
      <c r="D192" s="39"/>
      <c r="E192" s="2"/>
      <c r="F192" s="209"/>
      <c r="G192" s="99"/>
      <c r="H192" s="74"/>
      <c r="I192" s="74"/>
      <c r="J192" s="113"/>
      <c r="K192" s="100">
        <f t="shared" si="49"/>
        <v>0</v>
      </c>
      <c r="L192" s="95"/>
      <c r="M192" s="95">
        <f t="shared" si="46"/>
        <v>0</v>
      </c>
      <c r="N192" s="64">
        <f t="shared" si="40"/>
        <v>0</v>
      </c>
      <c r="O192" s="64"/>
      <c r="P192" s="95">
        <f t="shared" si="47"/>
        <v>0</v>
      </c>
      <c r="Q192" s="64"/>
      <c r="R192" s="95">
        <f t="shared" si="48"/>
        <v>0</v>
      </c>
      <c r="S192" s="64"/>
    </row>
    <row r="193" spans="1:19" x14ac:dyDescent="0.2">
      <c r="A193" s="211"/>
      <c r="B193" s="5"/>
      <c r="C193" s="2"/>
      <c r="D193" s="39"/>
      <c r="E193" s="2"/>
      <c r="F193" s="2"/>
      <c r="G193" s="99"/>
      <c r="H193" s="74"/>
      <c r="I193" s="74"/>
      <c r="J193" s="113"/>
      <c r="K193" s="100">
        <f t="shared" si="49"/>
        <v>0</v>
      </c>
      <c r="L193" s="95"/>
      <c r="M193" s="95">
        <f t="shared" si="46"/>
        <v>0</v>
      </c>
      <c r="N193" s="64">
        <f t="shared" si="40"/>
        <v>0</v>
      </c>
      <c r="O193" s="64"/>
      <c r="P193" s="95">
        <f t="shared" si="47"/>
        <v>0</v>
      </c>
      <c r="Q193" s="64"/>
      <c r="R193" s="95">
        <f t="shared" si="48"/>
        <v>0</v>
      </c>
      <c r="S193" s="64"/>
    </row>
    <row r="194" spans="1:19" x14ac:dyDescent="0.2">
      <c r="A194" s="211"/>
      <c r="B194" s="5"/>
      <c r="C194" s="2"/>
      <c r="D194" s="39"/>
      <c r="E194" s="2"/>
      <c r="F194" s="98"/>
      <c r="G194" s="99"/>
      <c r="H194" s="74"/>
      <c r="I194" s="74"/>
      <c r="J194" s="113"/>
      <c r="K194" s="100">
        <f t="shared" si="49"/>
        <v>0</v>
      </c>
      <c r="L194" s="95"/>
      <c r="M194" s="95">
        <f t="shared" si="46"/>
        <v>0</v>
      </c>
      <c r="N194" s="64">
        <f t="shared" si="40"/>
        <v>0</v>
      </c>
      <c r="O194" s="64"/>
      <c r="P194" s="95">
        <f t="shared" si="47"/>
        <v>0</v>
      </c>
      <c r="Q194" s="64"/>
      <c r="R194" s="95">
        <f>J194*0.25</f>
        <v>0</v>
      </c>
      <c r="S194" s="64"/>
    </row>
    <row r="195" spans="1:19" x14ac:dyDescent="0.2">
      <c r="A195" s="211"/>
      <c r="B195" s="5"/>
      <c r="C195" s="2"/>
      <c r="D195" s="39"/>
      <c r="E195" s="2"/>
      <c r="F195" s="98"/>
      <c r="G195" s="99"/>
      <c r="H195" s="74"/>
      <c r="I195" s="74"/>
      <c r="J195" s="113"/>
      <c r="K195" s="100">
        <f t="shared" si="49"/>
        <v>0</v>
      </c>
      <c r="L195" s="95"/>
      <c r="M195" s="95">
        <f t="shared" si="46"/>
        <v>0</v>
      </c>
      <c r="N195" s="64">
        <f t="shared" si="40"/>
        <v>0</v>
      </c>
      <c r="O195" s="64"/>
      <c r="P195" s="95">
        <f t="shared" si="47"/>
        <v>0</v>
      </c>
      <c r="Q195" s="64"/>
      <c r="R195" s="95">
        <f t="shared" ref="R195:R205" si="50">J195*0.25</f>
        <v>0</v>
      </c>
      <c r="S195" s="64"/>
    </row>
    <row r="196" spans="1:19" x14ac:dyDescent="0.2">
      <c r="A196" s="211"/>
      <c r="B196" s="5"/>
      <c r="C196" s="2"/>
      <c r="D196" s="39"/>
      <c r="E196" s="2"/>
      <c r="F196" s="98"/>
      <c r="G196" s="99"/>
      <c r="H196" s="74"/>
      <c r="I196" s="74"/>
      <c r="J196" s="113"/>
      <c r="K196" s="100">
        <f t="shared" si="49"/>
        <v>0</v>
      </c>
      <c r="L196" s="95"/>
      <c r="M196" s="95">
        <f t="shared" si="46"/>
        <v>0</v>
      </c>
      <c r="N196" s="64">
        <f t="shared" si="40"/>
        <v>0</v>
      </c>
      <c r="O196" s="64"/>
      <c r="P196" s="95">
        <f>+I196*0.13</f>
        <v>0</v>
      </c>
      <c r="Q196" s="64"/>
      <c r="R196" s="95">
        <f t="shared" si="50"/>
        <v>0</v>
      </c>
      <c r="S196" s="64"/>
    </row>
    <row r="197" spans="1:19" x14ac:dyDescent="0.2">
      <c r="A197" s="211"/>
      <c r="B197" s="5"/>
      <c r="C197" s="2"/>
      <c r="D197" s="39"/>
      <c r="E197" s="2"/>
      <c r="F197" s="98"/>
      <c r="G197" s="99"/>
      <c r="H197" s="74"/>
      <c r="I197" s="74"/>
      <c r="J197" s="113"/>
      <c r="K197" s="100">
        <f t="shared" si="49"/>
        <v>0</v>
      </c>
      <c r="L197" s="95"/>
      <c r="M197" s="95">
        <f t="shared" si="46"/>
        <v>0</v>
      </c>
      <c r="N197" s="64">
        <f t="shared" si="40"/>
        <v>0</v>
      </c>
      <c r="O197" s="64"/>
      <c r="P197" s="95">
        <f t="shared" si="47"/>
        <v>0</v>
      </c>
      <c r="Q197" s="64"/>
      <c r="R197" s="95">
        <f t="shared" si="50"/>
        <v>0</v>
      </c>
      <c r="S197" s="64"/>
    </row>
    <row r="198" spans="1:19" x14ac:dyDescent="0.2">
      <c r="A198" s="211"/>
      <c r="B198" s="5"/>
      <c r="C198" s="2"/>
      <c r="D198" s="39"/>
      <c r="E198" s="2"/>
      <c r="F198" s="98"/>
      <c r="G198" s="99"/>
      <c r="H198" s="74"/>
      <c r="I198" s="74"/>
      <c r="J198" s="113"/>
      <c r="K198" s="100">
        <f t="shared" si="49"/>
        <v>0</v>
      </c>
      <c r="L198" s="95"/>
      <c r="M198" s="95">
        <f>SUM(N198:S198)</f>
        <v>0</v>
      </c>
      <c r="N198" s="64">
        <f t="shared" si="40"/>
        <v>0</v>
      </c>
      <c r="O198" s="64"/>
      <c r="P198" s="95">
        <f t="shared" si="47"/>
        <v>0</v>
      </c>
      <c r="Q198" s="64"/>
      <c r="R198" s="95">
        <f t="shared" si="50"/>
        <v>0</v>
      </c>
      <c r="S198" s="64"/>
    </row>
    <row r="199" spans="1:19" x14ac:dyDescent="0.2">
      <c r="A199" s="211"/>
      <c r="B199" s="5"/>
      <c r="C199" s="2"/>
      <c r="D199" s="39"/>
      <c r="E199" s="2"/>
      <c r="F199" s="2"/>
      <c r="G199" s="150"/>
      <c r="H199" s="74"/>
      <c r="I199" s="74"/>
      <c r="J199" s="113"/>
      <c r="K199" s="100">
        <f t="shared" si="49"/>
        <v>0</v>
      </c>
      <c r="L199" s="95"/>
      <c r="M199" s="95">
        <f t="shared" ref="M199:M205" si="51">SUM(N199:S199)</f>
        <v>0</v>
      </c>
      <c r="N199" s="64">
        <f t="shared" si="40"/>
        <v>0</v>
      </c>
      <c r="O199" s="64"/>
      <c r="P199" s="95">
        <f t="shared" si="47"/>
        <v>0</v>
      </c>
      <c r="Q199" s="64"/>
      <c r="R199" s="95">
        <f t="shared" si="50"/>
        <v>0</v>
      </c>
      <c r="S199" s="64"/>
    </row>
    <row r="200" spans="1:19" x14ac:dyDescent="0.2">
      <c r="A200" s="211"/>
      <c r="B200" s="5"/>
      <c r="C200" s="2"/>
      <c r="D200" s="39"/>
      <c r="E200" s="2"/>
      <c r="F200" s="98"/>
      <c r="G200" s="99"/>
      <c r="H200" s="5"/>
      <c r="I200" s="5"/>
      <c r="J200" s="5"/>
      <c r="K200" s="100">
        <f t="shared" si="49"/>
        <v>0</v>
      </c>
      <c r="L200" s="2"/>
      <c r="M200" s="95">
        <f t="shared" si="51"/>
        <v>0</v>
      </c>
      <c r="N200" s="64">
        <f t="shared" si="40"/>
        <v>0</v>
      </c>
      <c r="O200" s="2"/>
      <c r="P200" s="95">
        <f t="shared" si="47"/>
        <v>0</v>
      </c>
      <c r="Q200" s="2"/>
      <c r="R200" s="95">
        <f t="shared" si="50"/>
        <v>0</v>
      </c>
      <c r="S200" s="2"/>
    </row>
    <row r="201" spans="1:19" x14ac:dyDescent="0.2">
      <c r="A201" s="211"/>
      <c r="B201" s="5"/>
      <c r="C201" s="2"/>
      <c r="D201" s="39"/>
      <c r="E201" s="2"/>
      <c r="F201" s="98"/>
      <c r="G201" s="99"/>
      <c r="H201" s="5"/>
      <c r="I201" s="5"/>
      <c r="J201" s="5"/>
      <c r="K201" s="100">
        <f t="shared" si="49"/>
        <v>0</v>
      </c>
      <c r="L201" s="2"/>
      <c r="M201" s="95">
        <f t="shared" si="51"/>
        <v>0</v>
      </c>
      <c r="N201" s="64">
        <f t="shared" si="40"/>
        <v>0</v>
      </c>
      <c r="O201" s="2"/>
      <c r="P201" s="95">
        <f t="shared" si="47"/>
        <v>0</v>
      </c>
      <c r="Q201" s="2"/>
      <c r="R201" s="95">
        <f t="shared" si="50"/>
        <v>0</v>
      </c>
      <c r="S201" s="2"/>
    </row>
    <row r="202" spans="1:19" x14ac:dyDescent="0.2">
      <c r="A202" s="211"/>
      <c r="B202" s="5"/>
      <c r="C202" s="2"/>
      <c r="D202" s="39"/>
      <c r="E202" s="2"/>
      <c r="F202" s="98"/>
      <c r="G202" s="99"/>
      <c r="H202" s="5"/>
      <c r="I202" s="5"/>
      <c r="J202" s="5"/>
      <c r="K202" s="100">
        <f t="shared" si="49"/>
        <v>0</v>
      </c>
      <c r="L202" s="2"/>
      <c r="M202" s="95">
        <f t="shared" si="51"/>
        <v>0</v>
      </c>
      <c r="N202" s="64">
        <f t="shared" si="40"/>
        <v>0</v>
      </c>
      <c r="O202" s="2"/>
      <c r="P202" s="95">
        <f t="shared" si="47"/>
        <v>0</v>
      </c>
      <c r="Q202" s="2"/>
      <c r="R202" s="95">
        <f t="shared" si="50"/>
        <v>0</v>
      </c>
      <c r="S202" s="2"/>
    </row>
    <row r="203" spans="1:19" x14ac:dyDescent="0.2">
      <c r="A203" s="211"/>
      <c r="B203" s="5"/>
      <c r="C203" s="2"/>
      <c r="D203" s="39"/>
      <c r="E203" s="2"/>
      <c r="F203" s="209"/>
      <c r="G203" s="99"/>
      <c r="H203" s="5"/>
      <c r="I203" s="5"/>
      <c r="J203" s="5"/>
      <c r="K203" s="100">
        <f t="shared" si="49"/>
        <v>0</v>
      </c>
      <c r="L203" s="2"/>
      <c r="M203" s="95">
        <f t="shared" si="51"/>
        <v>0</v>
      </c>
      <c r="N203" s="64">
        <f t="shared" si="40"/>
        <v>0</v>
      </c>
      <c r="O203" s="2"/>
      <c r="P203" s="95">
        <f t="shared" si="47"/>
        <v>0</v>
      </c>
      <c r="Q203" s="2"/>
      <c r="R203" s="95">
        <f t="shared" si="50"/>
        <v>0</v>
      </c>
      <c r="S203" s="2"/>
    </row>
    <row r="204" spans="1:19" x14ac:dyDescent="0.2">
      <c r="A204" s="211"/>
      <c r="B204" s="5"/>
      <c r="C204" s="2"/>
      <c r="D204" s="39"/>
      <c r="E204" s="2"/>
      <c r="F204" s="98"/>
      <c r="G204" s="99"/>
      <c r="H204" s="5"/>
      <c r="I204" s="5"/>
      <c r="J204" s="5"/>
      <c r="K204" s="100">
        <f t="shared" si="49"/>
        <v>0</v>
      </c>
      <c r="L204" s="2"/>
      <c r="M204" s="95">
        <f t="shared" si="51"/>
        <v>0</v>
      </c>
      <c r="N204" s="64">
        <f t="shared" si="40"/>
        <v>0</v>
      </c>
      <c r="O204" s="2"/>
      <c r="P204" s="95">
        <f t="shared" si="47"/>
        <v>0</v>
      </c>
      <c r="Q204" s="2"/>
      <c r="R204" s="95">
        <f t="shared" si="50"/>
        <v>0</v>
      </c>
      <c r="S204" s="2"/>
    </row>
    <row r="205" spans="1:19" x14ac:dyDescent="0.2">
      <c r="A205" s="211"/>
      <c r="B205" s="5"/>
      <c r="C205" s="2"/>
      <c r="D205" s="39"/>
      <c r="E205" s="2"/>
      <c r="F205" s="2"/>
      <c r="G205" s="99"/>
      <c r="H205" s="5"/>
      <c r="I205" s="5"/>
      <c r="J205" s="5"/>
      <c r="K205" s="100">
        <f t="shared" si="49"/>
        <v>0</v>
      </c>
      <c r="L205" s="2"/>
      <c r="M205" s="95">
        <f t="shared" si="51"/>
        <v>0</v>
      </c>
      <c r="N205" s="64">
        <f t="shared" si="40"/>
        <v>0</v>
      </c>
      <c r="O205" s="2"/>
      <c r="P205" s="95">
        <f t="shared" si="47"/>
        <v>0</v>
      </c>
      <c r="Q205" s="2"/>
      <c r="R205" s="95">
        <f t="shared" si="50"/>
        <v>0</v>
      </c>
      <c r="S205" s="2"/>
    </row>
    <row r="206" spans="1:19" x14ac:dyDescent="0.2">
      <c r="A206" s="211"/>
      <c r="B206" s="5"/>
      <c r="C206" s="2"/>
      <c r="D206" s="39"/>
      <c r="E206" s="2"/>
      <c r="F206" s="98"/>
      <c r="G206" s="99"/>
      <c r="H206" s="5"/>
      <c r="I206" s="5"/>
      <c r="J206" s="5"/>
      <c r="K206" s="100">
        <f t="shared" si="49"/>
        <v>0</v>
      </c>
      <c r="L206" s="2"/>
      <c r="M206" s="95">
        <f>SUM(N206:S206)</f>
        <v>0</v>
      </c>
      <c r="N206" s="64">
        <f t="shared" si="40"/>
        <v>0</v>
      </c>
      <c r="O206" s="2"/>
      <c r="P206" s="95">
        <f>+I206*0.13</f>
        <v>0</v>
      </c>
      <c r="Q206" s="2"/>
      <c r="R206" s="95">
        <f>J206*0.25</f>
        <v>0</v>
      </c>
      <c r="S206" s="2"/>
    </row>
    <row r="207" spans="1:19" x14ac:dyDescent="0.2">
      <c r="A207" s="211"/>
      <c r="B207" s="5"/>
      <c r="C207" s="2"/>
      <c r="D207" s="39"/>
      <c r="E207" s="2"/>
      <c r="F207" s="98"/>
      <c r="G207" s="99"/>
      <c r="H207" s="5"/>
      <c r="I207" s="5"/>
      <c r="J207" s="5"/>
      <c r="K207" s="100">
        <f>H207+I207+J207+M207</f>
        <v>0</v>
      </c>
      <c r="L207" s="2"/>
      <c r="M207" s="95">
        <f t="shared" ref="M207:M216" si="52">SUM(N207:S207)</f>
        <v>0</v>
      </c>
      <c r="N207" s="64">
        <f t="shared" ref="N207:N216" si="53">H207*0.05</f>
        <v>0</v>
      </c>
      <c r="O207" s="2"/>
      <c r="P207" s="95">
        <f t="shared" ref="P207:P216" si="54">+I207*0.13</f>
        <v>0</v>
      </c>
      <c r="Q207" s="2"/>
      <c r="R207" s="95">
        <f t="shared" ref="R207:R216" si="55">J207*0.25</f>
        <v>0</v>
      </c>
      <c r="S207" s="2"/>
    </row>
    <row r="208" spans="1:19" x14ac:dyDescent="0.2">
      <c r="A208" s="211"/>
      <c r="B208" s="5"/>
      <c r="C208" s="2"/>
      <c r="D208" s="39"/>
      <c r="E208" s="2"/>
      <c r="F208" s="98"/>
      <c r="G208" s="99"/>
      <c r="H208" s="5"/>
      <c r="I208" s="5"/>
      <c r="J208" s="5"/>
      <c r="K208" s="100">
        <f t="shared" si="49"/>
        <v>0</v>
      </c>
      <c r="L208" s="2"/>
      <c r="M208" s="95">
        <f t="shared" si="52"/>
        <v>0</v>
      </c>
      <c r="N208" s="64">
        <f t="shared" si="53"/>
        <v>0</v>
      </c>
      <c r="O208" s="2"/>
      <c r="P208" s="95">
        <f t="shared" si="54"/>
        <v>0</v>
      </c>
      <c r="Q208" s="2"/>
      <c r="R208" s="95">
        <f t="shared" si="55"/>
        <v>0</v>
      </c>
      <c r="S208" s="2"/>
    </row>
    <row r="209" spans="1:19" x14ac:dyDescent="0.2">
      <c r="A209" s="211"/>
      <c r="B209" s="5"/>
      <c r="C209" s="2"/>
      <c r="D209" s="39"/>
      <c r="E209" s="2"/>
      <c r="F209" s="98"/>
      <c r="G209" s="99"/>
      <c r="H209" s="5"/>
      <c r="I209" s="5"/>
      <c r="J209" s="5"/>
      <c r="K209" s="100">
        <f t="shared" si="49"/>
        <v>0</v>
      </c>
      <c r="L209" s="2"/>
      <c r="M209" s="95">
        <f>SUM(N209:S209)</f>
        <v>0</v>
      </c>
      <c r="N209" s="64">
        <f t="shared" si="53"/>
        <v>0</v>
      </c>
      <c r="O209" s="2"/>
      <c r="P209" s="95">
        <f t="shared" si="54"/>
        <v>0</v>
      </c>
      <c r="Q209" s="2"/>
      <c r="R209" s="95">
        <f t="shared" si="55"/>
        <v>0</v>
      </c>
      <c r="S209" s="2"/>
    </row>
    <row r="210" spans="1:19" x14ac:dyDescent="0.2">
      <c r="A210" s="211"/>
      <c r="B210" s="5"/>
      <c r="C210" s="2"/>
      <c r="D210" s="39"/>
      <c r="E210" s="2"/>
      <c r="F210" s="2"/>
      <c r="G210" s="150"/>
      <c r="H210" s="5"/>
      <c r="I210" s="5"/>
      <c r="J210" s="5"/>
      <c r="K210" s="100">
        <f t="shared" si="49"/>
        <v>0</v>
      </c>
      <c r="L210" s="2"/>
      <c r="M210" s="95">
        <f t="shared" si="52"/>
        <v>0</v>
      </c>
      <c r="N210" s="64">
        <f t="shared" si="53"/>
        <v>0</v>
      </c>
      <c r="O210" s="2"/>
      <c r="P210" s="95">
        <f t="shared" si="54"/>
        <v>0</v>
      </c>
      <c r="Q210" s="2"/>
      <c r="R210" s="95">
        <f t="shared" si="55"/>
        <v>0</v>
      </c>
      <c r="S210" s="2"/>
    </row>
    <row r="211" spans="1:19" x14ac:dyDescent="0.2">
      <c r="A211" s="211"/>
      <c r="B211" s="5"/>
      <c r="C211" s="2"/>
      <c r="D211" s="39"/>
      <c r="E211" s="2"/>
      <c r="F211" s="2"/>
      <c r="G211" s="2"/>
      <c r="H211" s="5"/>
      <c r="I211" s="5"/>
      <c r="J211" s="5"/>
      <c r="K211" s="100">
        <f t="shared" si="49"/>
        <v>0</v>
      </c>
      <c r="L211" s="2"/>
      <c r="M211" s="95">
        <f t="shared" si="52"/>
        <v>0</v>
      </c>
      <c r="N211" s="64">
        <f t="shared" si="53"/>
        <v>0</v>
      </c>
      <c r="O211" s="2"/>
      <c r="P211" s="95">
        <f t="shared" si="54"/>
        <v>0</v>
      </c>
      <c r="Q211" s="2"/>
      <c r="R211" s="95">
        <f t="shared" si="55"/>
        <v>0</v>
      </c>
      <c r="S211" s="2"/>
    </row>
    <row r="212" spans="1:19" x14ac:dyDescent="0.2">
      <c r="A212" s="211"/>
      <c r="B212" s="5"/>
      <c r="C212" s="2"/>
      <c r="D212" s="39"/>
      <c r="E212" s="2"/>
      <c r="F212" s="98"/>
      <c r="G212" s="99"/>
      <c r="H212" s="5"/>
      <c r="I212" s="5"/>
      <c r="J212" s="5"/>
      <c r="K212" s="100">
        <f t="shared" si="49"/>
        <v>0</v>
      </c>
      <c r="L212" s="2"/>
      <c r="M212" s="95">
        <f t="shared" si="52"/>
        <v>0</v>
      </c>
      <c r="N212" s="64">
        <f t="shared" si="53"/>
        <v>0</v>
      </c>
      <c r="O212" s="2"/>
      <c r="P212" s="95">
        <f t="shared" si="54"/>
        <v>0</v>
      </c>
      <c r="Q212" s="2"/>
      <c r="R212" s="95">
        <f t="shared" si="55"/>
        <v>0</v>
      </c>
      <c r="S212" s="2"/>
    </row>
    <row r="213" spans="1:19" x14ac:dyDescent="0.2">
      <c r="A213" s="211"/>
      <c r="B213" s="5"/>
      <c r="C213" s="2"/>
      <c r="D213" s="39"/>
      <c r="E213" s="2"/>
      <c r="F213" s="98"/>
      <c r="G213" s="99"/>
      <c r="H213" s="5"/>
      <c r="I213" s="5"/>
      <c r="J213" s="5"/>
      <c r="K213" s="100">
        <f t="shared" si="49"/>
        <v>0</v>
      </c>
      <c r="L213" s="2"/>
      <c r="M213" s="95">
        <f t="shared" si="52"/>
        <v>0</v>
      </c>
      <c r="N213" s="64">
        <f t="shared" si="53"/>
        <v>0</v>
      </c>
      <c r="O213" s="2"/>
      <c r="P213" s="95">
        <f t="shared" si="54"/>
        <v>0</v>
      </c>
      <c r="Q213" s="2"/>
      <c r="R213" s="95">
        <f t="shared" si="55"/>
        <v>0</v>
      </c>
      <c r="S213" s="2"/>
    </row>
    <row r="214" spans="1:19" x14ac:dyDescent="0.2">
      <c r="A214" s="211"/>
      <c r="B214" s="5"/>
      <c r="C214" s="2"/>
      <c r="D214" s="39"/>
      <c r="E214" s="2"/>
      <c r="F214" s="98"/>
      <c r="G214" s="99"/>
      <c r="H214" s="5"/>
      <c r="I214" s="5"/>
      <c r="J214" s="5"/>
      <c r="K214" s="100">
        <f t="shared" si="49"/>
        <v>0</v>
      </c>
      <c r="L214" s="2"/>
      <c r="M214" s="95">
        <f t="shared" si="52"/>
        <v>0</v>
      </c>
      <c r="N214" s="64">
        <f>H214*0.05</f>
        <v>0</v>
      </c>
      <c r="O214" s="2"/>
      <c r="P214" s="95">
        <f>+I214*0.13</f>
        <v>0</v>
      </c>
      <c r="Q214" s="2"/>
      <c r="R214" s="95">
        <f>J214*0.25</f>
        <v>0</v>
      </c>
      <c r="S214" s="2"/>
    </row>
    <row r="215" spans="1:19" x14ac:dyDescent="0.2">
      <c r="A215" s="211"/>
      <c r="B215" s="5"/>
      <c r="C215" s="2"/>
      <c r="D215" s="39"/>
      <c r="E215" s="2"/>
      <c r="F215" s="98"/>
      <c r="G215" s="99"/>
      <c r="H215" s="5"/>
      <c r="I215" s="5"/>
      <c r="J215" s="5"/>
      <c r="K215" s="100">
        <f t="shared" si="49"/>
        <v>0</v>
      </c>
      <c r="L215" s="2"/>
      <c r="M215" s="95">
        <f t="shared" si="52"/>
        <v>0</v>
      </c>
      <c r="N215" s="64">
        <f t="shared" si="53"/>
        <v>0</v>
      </c>
      <c r="O215" s="2"/>
      <c r="P215" s="95">
        <f t="shared" si="54"/>
        <v>0</v>
      </c>
      <c r="Q215" s="2"/>
      <c r="R215" s="95">
        <f t="shared" si="55"/>
        <v>0</v>
      </c>
      <c r="S215" s="2"/>
    </row>
    <row r="216" spans="1:19" x14ac:dyDescent="0.2">
      <c r="A216" s="211"/>
      <c r="B216" s="5"/>
      <c r="C216" s="2"/>
      <c r="D216" s="39"/>
      <c r="E216" s="2"/>
      <c r="F216" s="2"/>
      <c r="G216" s="99"/>
      <c r="H216" s="5"/>
      <c r="I216" s="5"/>
      <c r="J216" s="5"/>
      <c r="K216" s="100">
        <f t="shared" ref="K207:K216" si="56">H216+I216+J216+M216</f>
        <v>0</v>
      </c>
      <c r="L216" s="2"/>
      <c r="M216" s="95">
        <f t="shared" si="52"/>
        <v>0</v>
      </c>
      <c r="N216" s="64">
        <f t="shared" si="53"/>
        <v>0</v>
      </c>
      <c r="O216" s="2"/>
      <c r="P216" s="95">
        <f t="shared" si="54"/>
        <v>0</v>
      </c>
      <c r="Q216" s="2"/>
      <c r="R216" s="95">
        <f t="shared" si="55"/>
        <v>0</v>
      </c>
      <c r="S216" s="2"/>
    </row>
    <row r="217" spans="1:19" x14ac:dyDescent="0.2">
      <c r="A217" s="211"/>
      <c r="B217" s="5"/>
      <c r="C217" s="2"/>
      <c r="D217" s="39"/>
      <c r="E217" s="2"/>
      <c r="F217" s="98"/>
      <c r="G217" s="99"/>
      <c r="H217" s="5"/>
      <c r="I217" s="5"/>
      <c r="J217" s="5"/>
      <c r="K217" s="100">
        <f t="shared" ref="K217:K227" si="57">H217+I217+J217+M217</f>
        <v>0</v>
      </c>
      <c r="L217" s="2"/>
      <c r="M217" s="95">
        <f t="shared" ref="M217:M227" si="58">SUM(N217:S217)</f>
        <v>0</v>
      </c>
      <c r="N217" s="64">
        <f t="shared" ref="N217:N227" si="59">H217*0.05</f>
        <v>0</v>
      </c>
      <c r="O217" s="2"/>
      <c r="P217" s="95">
        <f t="shared" ref="P217:P227" si="60">+I217*0.13</f>
        <v>0</v>
      </c>
      <c r="Q217" s="2"/>
      <c r="R217" s="95">
        <f t="shared" ref="R217:R227" si="61">J217*0.25</f>
        <v>0</v>
      </c>
      <c r="S217" s="2"/>
    </row>
    <row r="218" spans="1:19" x14ac:dyDescent="0.2">
      <c r="A218" s="211"/>
      <c r="B218" s="5"/>
      <c r="C218" s="2"/>
      <c r="D218" s="39"/>
      <c r="E218" s="2"/>
      <c r="F218" s="98"/>
      <c r="G218" s="99"/>
      <c r="H218" s="5"/>
      <c r="I218" s="5"/>
      <c r="J218" s="5"/>
      <c r="K218" s="100">
        <f t="shared" si="57"/>
        <v>0</v>
      </c>
      <c r="L218" s="2"/>
      <c r="M218" s="95">
        <f t="shared" si="58"/>
        <v>0</v>
      </c>
      <c r="N218" s="64">
        <f t="shared" si="59"/>
        <v>0</v>
      </c>
      <c r="O218" s="2"/>
      <c r="P218" s="95">
        <f t="shared" si="60"/>
        <v>0</v>
      </c>
      <c r="Q218" s="2"/>
      <c r="R218" s="95">
        <f t="shared" si="61"/>
        <v>0</v>
      </c>
      <c r="S218" s="2"/>
    </row>
    <row r="219" spans="1:19" x14ac:dyDescent="0.2">
      <c r="A219" s="211"/>
      <c r="B219" s="5"/>
      <c r="C219" s="2"/>
      <c r="D219" s="39"/>
      <c r="E219" s="2"/>
      <c r="F219" s="98"/>
      <c r="G219" s="99"/>
      <c r="H219" s="5"/>
      <c r="I219" s="5"/>
      <c r="J219" s="5"/>
      <c r="K219" s="100">
        <f t="shared" si="57"/>
        <v>0</v>
      </c>
      <c r="L219" s="2"/>
      <c r="M219" s="95">
        <f>SUM(N219:S219)</f>
        <v>0</v>
      </c>
      <c r="N219" s="64">
        <f t="shared" si="59"/>
        <v>0</v>
      </c>
      <c r="O219" s="2"/>
      <c r="P219" s="95">
        <f t="shared" si="60"/>
        <v>0</v>
      </c>
      <c r="Q219" s="2"/>
      <c r="R219" s="95">
        <f t="shared" si="61"/>
        <v>0</v>
      </c>
      <c r="S219" s="2"/>
    </row>
    <row r="220" spans="1:19" x14ac:dyDescent="0.2">
      <c r="A220" s="211"/>
      <c r="B220" s="5"/>
      <c r="C220" s="2"/>
      <c r="D220" s="39"/>
      <c r="E220" s="2"/>
      <c r="F220" s="209"/>
      <c r="G220" s="99"/>
      <c r="H220" s="5"/>
      <c r="I220" s="5"/>
      <c r="J220" s="5"/>
      <c r="K220" s="100">
        <f t="shared" si="57"/>
        <v>0</v>
      </c>
      <c r="L220" s="2"/>
      <c r="M220" s="95">
        <f t="shared" si="58"/>
        <v>0</v>
      </c>
      <c r="N220" s="64">
        <f t="shared" si="59"/>
        <v>0</v>
      </c>
      <c r="O220" s="2"/>
      <c r="P220" s="95">
        <f t="shared" si="60"/>
        <v>0</v>
      </c>
      <c r="Q220" s="2"/>
      <c r="R220" s="95">
        <f t="shared" si="61"/>
        <v>0</v>
      </c>
      <c r="S220" s="2"/>
    </row>
    <row r="221" spans="1:19" x14ac:dyDescent="0.2">
      <c r="A221" s="211"/>
      <c r="B221" s="5"/>
      <c r="C221" s="2"/>
      <c r="D221" s="39"/>
      <c r="E221" s="2"/>
      <c r="F221" s="98"/>
      <c r="G221" s="99"/>
      <c r="H221" s="5"/>
      <c r="I221" s="5"/>
      <c r="J221" s="5"/>
      <c r="K221" s="100">
        <f t="shared" si="57"/>
        <v>0</v>
      </c>
      <c r="L221" s="2"/>
      <c r="M221" s="95">
        <f t="shared" si="58"/>
        <v>0</v>
      </c>
      <c r="N221" s="64">
        <f t="shared" si="59"/>
        <v>0</v>
      </c>
      <c r="O221" s="2"/>
      <c r="P221" s="95">
        <f t="shared" si="60"/>
        <v>0</v>
      </c>
      <c r="Q221" s="2"/>
      <c r="R221" s="95">
        <f t="shared" si="61"/>
        <v>0</v>
      </c>
      <c r="S221" s="2"/>
    </row>
    <row r="222" spans="1:19" x14ac:dyDescent="0.2">
      <c r="A222" s="225"/>
      <c r="B222" s="5"/>
      <c r="C222" s="2"/>
      <c r="D222" s="5"/>
      <c r="E222" s="2"/>
      <c r="F222" s="98"/>
      <c r="G222" s="99"/>
      <c r="H222" s="5"/>
      <c r="I222" s="5"/>
      <c r="J222" s="5"/>
      <c r="K222" s="100">
        <f t="shared" si="57"/>
        <v>0</v>
      </c>
      <c r="L222" s="2"/>
      <c r="M222" s="95">
        <f t="shared" si="58"/>
        <v>0</v>
      </c>
      <c r="N222" s="64">
        <f t="shared" si="59"/>
        <v>0</v>
      </c>
      <c r="O222" s="2"/>
      <c r="P222" s="95">
        <f t="shared" si="60"/>
        <v>0</v>
      </c>
      <c r="Q222" s="2"/>
      <c r="R222" s="95">
        <f t="shared" si="61"/>
        <v>0</v>
      </c>
      <c r="S222" s="2"/>
    </row>
    <row r="223" spans="1:19" ht="13.5" thickBot="1" x14ac:dyDescent="0.25">
      <c r="B223" s="226"/>
      <c r="C223" s="139"/>
      <c r="D223" s="226"/>
      <c r="E223" s="139"/>
      <c r="F223" s="140"/>
      <c r="G223" s="141"/>
      <c r="H223" s="5"/>
      <c r="I223" s="5"/>
      <c r="J223" s="5"/>
      <c r="K223" s="100">
        <f t="shared" si="57"/>
        <v>0</v>
      </c>
      <c r="L223" s="2"/>
      <c r="M223" s="95">
        <f t="shared" si="58"/>
        <v>0</v>
      </c>
      <c r="N223" s="64">
        <f t="shared" si="59"/>
        <v>0</v>
      </c>
      <c r="O223" s="2"/>
      <c r="P223" s="95">
        <f t="shared" si="60"/>
        <v>0</v>
      </c>
      <c r="Q223" s="2"/>
      <c r="R223" s="95">
        <f t="shared" si="61"/>
        <v>0</v>
      </c>
      <c r="S223" s="2"/>
    </row>
    <row r="224" spans="1:19" x14ac:dyDescent="0.2">
      <c r="A224" s="232"/>
      <c r="B224" s="18"/>
      <c r="C224" s="145"/>
      <c r="D224" s="18"/>
      <c r="E224" s="145"/>
      <c r="F224" s="146"/>
      <c r="G224" s="147"/>
      <c r="H224" s="5"/>
      <c r="I224" s="5"/>
      <c r="J224" s="5"/>
      <c r="K224" s="100">
        <f t="shared" si="57"/>
        <v>0</v>
      </c>
      <c r="L224" s="2"/>
      <c r="M224" s="95">
        <f t="shared" si="58"/>
        <v>0</v>
      </c>
      <c r="N224" s="64">
        <f t="shared" si="59"/>
        <v>0</v>
      </c>
      <c r="O224" s="2"/>
      <c r="P224" s="95">
        <f t="shared" si="60"/>
        <v>0</v>
      </c>
      <c r="Q224" s="2"/>
      <c r="R224" s="95">
        <f t="shared" si="61"/>
        <v>0</v>
      </c>
      <c r="S224" s="2"/>
    </row>
    <row r="225" spans="1:19" x14ac:dyDescent="0.2">
      <c r="A225" s="233"/>
      <c r="B225" s="365" t="s">
        <v>705</v>
      </c>
      <c r="C225" s="366"/>
      <c r="D225" s="366"/>
      <c r="E225" s="366"/>
      <c r="F225" s="367"/>
      <c r="G225" s="99"/>
      <c r="H225" s="5"/>
      <c r="I225" s="5"/>
      <c r="J225" s="5"/>
      <c r="K225" s="100">
        <f t="shared" si="57"/>
        <v>0</v>
      </c>
      <c r="L225" s="2"/>
      <c r="M225" s="95">
        <f t="shared" si="58"/>
        <v>0</v>
      </c>
      <c r="N225" s="64">
        <f t="shared" si="59"/>
        <v>0</v>
      </c>
      <c r="O225" s="2"/>
      <c r="P225" s="95">
        <f t="shared" si="60"/>
        <v>0</v>
      </c>
      <c r="Q225" s="2"/>
      <c r="R225" s="95">
        <f t="shared" si="61"/>
        <v>0</v>
      </c>
      <c r="S225" s="2"/>
    </row>
    <row r="226" spans="1:19" ht="13.5" thickBot="1" x14ac:dyDescent="0.25">
      <c r="A226" s="234"/>
      <c r="B226" s="156"/>
      <c r="C226" s="151"/>
      <c r="D226" s="156"/>
      <c r="E226" s="151"/>
      <c r="F226" s="173"/>
      <c r="G226" s="152"/>
      <c r="H226" s="5"/>
      <c r="I226" s="5"/>
      <c r="J226" s="5"/>
      <c r="K226" s="100">
        <f t="shared" si="57"/>
        <v>0</v>
      </c>
      <c r="L226" s="2"/>
      <c r="M226" s="95">
        <f t="shared" si="58"/>
        <v>0</v>
      </c>
      <c r="N226" s="64">
        <f t="shared" si="59"/>
        <v>0</v>
      </c>
      <c r="O226" s="2"/>
      <c r="P226" s="95">
        <f t="shared" si="60"/>
        <v>0</v>
      </c>
      <c r="Q226" s="2"/>
      <c r="R226" s="95">
        <f t="shared" si="61"/>
        <v>0</v>
      </c>
      <c r="S226" s="2"/>
    </row>
    <row r="227" spans="1:19" x14ac:dyDescent="0.2">
      <c r="B227" s="227"/>
      <c r="C227" s="148"/>
      <c r="D227" s="227"/>
      <c r="E227" s="148"/>
      <c r="F227" s="149"/>
      <c r="G227" s="150"/>
      <c r="H227" s="5"/>
      <c r="I227" s="5"/>
      <c r="J227" s="5"/>
      <c r="K227" s="100">
        <f t="shared" si="57"/>
        <v>0</v>
      </c>
      <c r="L227" s="2"/>
      <c r="M227" s="95">
        <f t="shared" si="58"/>
        <v>0</v>
      </c>
      <c r="N227" s="64">
        <f t="shared" si="59"/>
        <v>0</v>
      </c>
      <c r="O227" s="2"/>
      <c r="P227" s="95">
        <f t="shared" si="60"/>
        <v>0</v>
      </c>
      <c r="Q227" s="2"/>
      <c r="R227" s="95">
        <f t="shared" si="61"/>
        <v>0</v>
      </c>
      <c r="S227" s="2"/>
    </row>
    <row r="230" spans="1:19" x14ac:dyDescent="0.2">
      <c r="B230" s="6" t="s">
        <v>579</v>
      </c>
      <c r="H230" s="92">
        <f>SUM(H29:H115)</f>
        <v>0</v>
      </c>
      <c r="I230" s="92">
        <f>SUM(I29:I229)</f>
        <v>200.73999999999998</v>
      </c>
      <c r="J230" s="172">
        <f>SUM(J29:J229)</f>
        <v>5789.7900000000009</v>
      </c>
      <c r="K230" s="172">
        <f>SUM(K29:L229)</f>
        <v>10294.5437</v>
      </c>
      <c r="L230" s="172">
        <f>SUM(L29:M229)</f>
        <v>1473.5437000000002</v>
      </c>
      <c r="M230" s="172">
        <f>SUM(M29:M229)</f>
        <v>1473.5437000000002</v>
      </c>
      <c r="N230" s="172">
        <f t="shared" ref="M230:S230" si="62">SUM(N29:N229)</f>
        <v>0</v>
      </c>
      <c r="O230" s="172">
        <f t="shared" si="62"/>
        <v>0</v>
      </c>
      <c r="P230" s="172">
        <f>SUM(P29:P229)</f>
        <v>26.096199999999996</v>
      </c>
      <c r="Q230" s="172">
        <f t="shared" si="62"/>
        <v>0</v>
      </c>
      <c r="R230" s="172">
        <f>SUM(R29:R229)</f>
        <v>1447.4475000000002</v>
      </c>
      <c r="S230" s="172">
        <f t="shared" si="62"/>
        <v>0</v>
      </c>
    </row>
    <row r="1048573" spans="4:4" x14ac:dyDescent="0.2">
      <c r="D1048573" s="135"/>
    </row>
  </sheetData>
  <mergeCells count="42">
    <mergeCell ref="S23:S27"/>
    <mergeCell ref="G21:G27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B225:F225"/>
    <mergeCell ref="B115:F115"/>
    <mergeCell ref="B139:F139"/>
    <mergeCell ref="E28:F28"/>
    <mergeCell ref="B19:B27"/>
    <mergeCell ref="C19:D20"/>
    <mergeCell ref="C21:C27"/>
    <mergeCell ref="D21:D27"/>
    <mergeCell ref="E21:F27"/>
    <mergeCell ref="B159:F159"/>
    <mergeCell ref="B180:F180"/>
  </mergeCells>
  <phoneticPr fontId="23" type="noConversion"/>
  <pageMargins left="0.25" right="0.25" top="0.75" bottom="0.75" header="0.3" footer="0.3"/>
  <pageSetup paperSize="9" scale="27" orientation="landscape" r:id="rId1"/>
  <rowBreaks count="2" manualBreakCount="2">
    <brk id="126" max="23" man="1"/>
    <brk id="1048445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72" t="str">
        <f>NASLOV!B5</f>
        <v>Markus Renz</v>
      </c>
      <c r="B1" s="272"/>
      <c r="C1" s="272"/>
      <c r="D1" s="272"/>
      <c r="E1" s="272"/>
      <c r="F1" s="272"/>
    </row>
    <row r="2" spans="1:18" x14ac:dyDescent="0.2">
      <c r="A2" s="272"/>
      <c r="B2" s="272"/>
      <c r="C2" s="272"/>
      <c r="D2" s="272"/>
      <c r="E2" s="272"/>
      <c r="F2" s="272"/>
    </row>
    <row r="3" spans="1:18" x14ac:dyDescent="0.2">
      <c r="C3" s="237" t="str">
        <f>INDEX(PRIJEVODI!B:D,MATCH("URA75-001",PRIJEVODI!A:A,0),MATCH(NASLOV!$B$2,PRIJEVODI!$B$1:$D$1,0))</f>
        <v>STEUERPFLICHTIGER: NAME / NACHNAME</v>
      </c>
      <c r="D3" s="237"/>
      <c r="E3" s="237"/>
      <c r="F3" s="237"/>
      <c r="Q3" s="239"/>
      <c r="R3" s="239"/>
    </row>
    <row r="4" spans="1:18" x14ac:dyDescent="0.2">
      <c r="C4" s="271" t="str">
        <f>NASLOV!B7</f>
        <v>Am Sonnblick 6, Lichtenau</v>
      </c>
      <c r="D4" s="271"/>
      <c r="E4" s="271"/>
      <c r="F4" s="271"/>
    </row>
    <row r="5" spans="1:18" x14ac:dyDescent="0.2">
      <c r="C5" s="271"/>
      <c r="D5" s="271"/>
      <c r="E5" s="271"/>
      <c r="F5" s="271"/>
    </row>
    <row r="6" spans="1:18" x14ac:dyDescent="0.2">
      <c r="C6" s="237" t="str">
        <f>INDEX(PRIJEVODI!B:D,MATCH("URA75-002",PRIJEVODI!A:A,0),MATCH(NASLOV!$B$2,PRIJEVODI!$B$1:$D$1,0))</f>
        <v>ADRESSE: ORT, STRASSE UND HAUSNUMMER</v>
      </c>
      <c r="D6" s="237"/>
      <c r="E6" s="237"/>
      <c r="F6" s="237"/>
    </row>
    <row r="7" spans="1:18" x14ac:dyDescent="0.2">
      <c r="C7" s="273"/>
      <c r="D7" s="273"/>
      <c r="E7" s="273"/>
      <c r="F7" s="273"/>
    </row>
    <row r="8" spans="1:18" x14ac:dyDescent="0.2">
      <c r="C8" s="273"/>
      <c r="D8" s="273"/>
      <c r="E8" s="273"/>
      <c r="F8" s="273"/>
    </row>
    <row r="9" spans="1:18" x14ac:dyDescent="0.2">
      <c r="C9" s="237" t="str">
        <f>INDEX(PRIJEVODI!B:D,MATCH("URA75-003",PRIJEVODI!A:A,0),MATCH(NASLOV!$B$2,PRIJEVODI!$B$1:$D$1,0))</f>
        <v xml:space="preserve">NUMMERIERUNG GEMÄSS DEM NATIONALEN KLASSIFIZIERUNGSSYSTEM  </v>
      </c>
      <c r="D9" s="237"/>
      <c r="E9" s="237"/>
      <c r="F9" s="237"/>
    </row>
    <row r="10" spans="1:18" x14ac:dyDescent="0.2">
      <c r="C10" s="237"/>
      <c r="D10" s="237"/>
      <c r="E10" s="237"/>
      <c r="F10" s="237"/>
    </row>
    <row r="11" spans="1:18" x14ac:dyDescent="0.2">
      <c r="C11" s="271" t="str">
        <f>NASLOV!B9</f>
        <v>HR6411581446</v>
      </c>
      <c r="D11" s="271"/>
      <c r="E11" s="271"/>
      <c r="F11" s="271"/>
    </row>
    <row r="12" spans="1:18" x14ac:dyDescent="0.2">
      <c r="C12" s="271"/>
      <c r="D12" s="271"/>
      <c r="E12" s="271"/>
      <c r="F12" s="271"/>
    </row>
    <row r="13" spans="1:18" x14ac:dyDescent="0.2">
      <c r="C13" s="237" t="str">
        <f>INDEX(PRIJEVODI!B:D,MATCH("URA75-004",PRIJEVODI!A:A,0),MATCH(NASLOV!$B$2,PRIJEVODI!$B$1:$D$1,0))</f>
        <v>STEUERNUMMER (UID)</v>
      </c>
      <c r="D13" s="237"/>
      <c r="E13" s="237"/>
      <c r="F13" s="237"/>
    </row>
    <row r="15" spans="1:18" x14ac:dyDescent="0.2">
      <c r="G15" s="238" t="s">
        <v>576</v>
      </c>
      <c r="H15" s="239"/>
      <c r="I15" s="239"/>
      <c r="J15" s="239"/>
      <c r="K15" s="239"/>
      <c r="L15" s="274"/>
    </row>
    <row r="16" spans="1:18" x14ac:dyDescent="0.2">
      <c r="G16" s="239"/>
      <c r="H16" s="239"/>
      <c r="I16" s="239"/>
      <c r="J16" s="239"/>
      <c r="K16" s="239"/>
      <c r="L16" s="274"/>
      <c r="O16" s="239" t="str">
        <f>INDEX(PRIJEVODI!B:D,MATCH("URA75-006",PRIJEVODI!A:A,0),MATCH(NASLOV!$B$2,PRIJEVODI!$B$1:$D$1,0))</f>
        <v>BETRAG IN KUNA UND LIPA</v>
      </c>
      <c r="P16" s="239"/>
      <c r="Q16" s="239"/>
      <c r="R16" s="239"/>
    </row>
    <row r="19" spans="2:19" ht="12.75" customHeight="1" x14ac:dyDescent="0.2">
      <c r="B19" s="246" t="str">
        <f>INDEX(PRIJEVODI!B:D,MATCH("URA75-007",PRIJEVODI!A:A,0),MATCH(NASLOV!$B$2,PRIJEVODI!$B$1:$D$1,0))</f>
        <v xml:space="preserve">ORDNUNGSNUMMER </v>
      </c>
      <c r="C19" s="249" t="str">
        <f>INDEX(PRIJEVODI!B:D,MATCH("URA75-008",PRIJEVODI!A:A,0),MATCH(NASLOV!$B$2,PRIJEVODI!$B$1:$D$1,0))</f>
        <v>RECHNUNG</v>
      </c>
      <c r="D19" s="250"/>
      <c r="E19" s="293" t="str">
        <f>INDEX(PRIJEVODI!B:D,MATCH("URA75-011",PRIJEVODI!A:A,0),MATCH(NASLOV!$B$2,PRIJEVODI!$B$1:$D$1,0))</f>
        <v>LIEFERANT (ANBIETER VON WAREN UND DIENSTLEISTUNGEN)</v>
      </c>
      <c r="F19" s="294"/>
      <c r="G19" s="294"/>
      <c r="H19" s="294"/>
      <c r="I19" s="294"/>
      <c r="J19" s="294"/>
      <c r="K19" s="294"/>
      <c r="L19" s="294"/>
      <c r="M19" s="291"/>
      <c r="N19" s="249" t="str">
        <f>INDEX(PRIJEVODI!B:D,MATCH("URA75-020",PRIJEVODI!A:A,0),MATCH(NASLOV!$B$2,PRIJEVODI!$B$1:$D$1,0))</f>
        <v>STEUER</v>
      </c>
      <c r="O19" s="279"/>
      <c r="P19" s="279"/>
      <c r="Q19" s="279"/>
      <c r="R19" s="279"/>
      <c r="S19" s="285"/>
    </row>
    <row r="20" spans="2:19" x14ac:dyDescent="0.2">
      <c r="B20" s="247"/>
      <c r="C20" s="251"/>
      <c r="D20" s="252"/>
      <c r="E20" s="277"/>
      <c r="F20" s="295"/>
      <c r="G20" s="295"/>
      <c r="H20" s="295"/>
      <c r="I20" s="295"/>
      <c r="J20" s="295"/>
      <c r="K20" s="295"/>
      <c r="L20" s="295"/>
      <c r="M20" s="296"/>
      <c r="N20" s="281"/>
      <c r="O20" s="282"/>
      <c r="P20" s="282"/>
      <c r="Q20" s="282"/>
      <c r="R20" s="282"/>
      <c r="S20" s="283"/>
    </row>
    <row r="21" spans="2:19" ht="12.75" customHeight="1" x14ac:dyDescent="0.2">
      <c r="B21" s="247"/>
      <c r="C21" s="259" t="str">
        <f>INDEX(PRIJEVODI!B:D,MATCH("URA75-009",PRIJEVODI!A:A,0),MATCH(NASLOV!$B$2,PRIJEVODI!$B$1:$D$1,0))</f>
        <v xml:space="preserve">NUMMER </v>
      </c>
      <c r="D21" s="259" t="str">
        <f>INDEX(PRIJEVODI!B:D,MATCH("URA75-010",PRIJEVODI!A:A,0),MATCH(NASLOV!$B$2,PRIJEVODI!$B$1:$D$1,0))</f>
        <v>DATUM</v>
      </c>
      <c r="E21" s="262" t="str">
        <f>INDEX(PRIJEVODI!B:D,MATCH("URA75-012",PRIJEVODI!A:A,0),MATCH(NASLOV!$B$2,PRIJEVODI!$B$1:$D$1,0))</f>
        <v>TITEL - NAME UND NACHNAME, GESCHÄFTSSITZ / SITZORT</v>
      </c>
      <c r="F21" s="263"/>
      <c r="G21" s="268" t="str">
        <f>INDEX(PRIJEVODI!B:D,MATCH("URA75-013",PRIJEVODI!A:A,0),MATCH(NASLOV!$B$2,PRIJEVODI!$B$1:$D$1,0))</f>
        <v>STEUERNUMMER (UID)</v>
      </c>
      <c r="H21" s="275" t="str">
        <f>INDEX(PRIJEVODI!B:D,MATCH("URA75-014",PRIJEVODI!A:A,0),MATCH(NASLOV!$B$2,PRIJEVODI!$B$1:$D$1,0))</f>
        <v>LIEFERWERT</v>
      </c>
      <c r="I21" s="294"/>
      <c r="J21" s="291"/>
      <c r="K21" s="268" t="str">
        <f>INDEX(PRIJEVODI!B:D,MATCH("URA75-018",PRIJEVODI!A:A,0),MATCH(NASLOV!$B$2,PRIJEVODI!$B$1:$D$1,0))</f>
        <v>GESAMTBETRAG DER RECHNUNG INKLUSIVE MwST.</v>
      </c>
      <c r="L21" s="45"/>
      <c r="M21" s="259" t="str">
        <f>INDEX(PRIJEVODI!B:D,MATCH("URA75-030",PRIJEVODI!A:A,0),MATCH(NASLOV!$B$2,PRIJEVODI!$B$1:$D$1,0))</f>
        <v>TOTAL</v>
      </c>
      <c r="N21" s="284">
        <v>0.05</v>
      </c>
      <c r="O21" s="285"/>
      <c r="P21" s="284">
        <v>0.13</v>
      </c>
      <c r="Q21" s="285"/>
      <c r="R21" s="284">
        <v>0.25</v>
      </c>
      <c r="S21" s="285"/>
    </row>
    <row r="22" spans="2:19" x14ac:dyDescent="0.2">
      <c r="B22" s="247"/>
      <c r="C22" s="260"/>
      <c r="D22" s="260"/>
      <c r="E22" s="264"/>
      <c r="F22" s="265"/>
      <c r="G22" s="269"/>
      <c r="H22" s="276"/>
      <c r="I22" s="297"/>
      <c r="J22" s="298"/>
      <c r="K22" s="269"/>
      <c r="L22" s="46"/>
      <c r="M22" s="260"/>
      <c r="N22" s="281"/>
      <c r="O22" s="283"/>
      <c r="P22" s="281"/>
      <c r="Q22" s="283"/>
      <c r="R22" s="281"/>
      <c r="S22" s="283"/>
    </row>
    <row r="23" spans="2:19" x14ac:dyDescent="0.2">
      <c r="B23" s="247"/>
      <c r="C23" s="260"/>
      <c r="D23" s="260"/>
      <c r="E23" s="264"/>
      <c r="F23" s="265"/>
      <c r="G23" s="269"/>
      <c r="H23" s="276"/>
      <c r="I23" s="297"/>
      <c r="J23" s="298"/>
      <c r="K23" s="269"/>
      <c r="L23" s="46"/>
      <c r="M23" s="260"/>
      <c r="N23" s="268" t="str">
        <f>INDEX(PRIJEVODI!B:D,MATCH("URA75-022",PRIJEVODI!A:A,0),MATCH(NASLOV!$B$2,PRIJEVODI!$B$1:$D$1,0))</f>
        <v>ABZUGSFÄHIG</v>
      </c>
      <c r="O23" s="268" t="str">
        <f>INDEX(PRIJEVODI!B:D,MATCH("URA75-023",PRIJEVODI!A:A,0),MATCH(NASLOV!$B$2,PRIJEVODI!$B$1:$D$1,0))</f>
        <v>NICHT ABZUGSFÄHIG</v>
      </c>
      <c r="P23" s="268" t="str">
        <f>INDEX(PRIJEVODI!B:D,MATCH("URA75-025",PRIJEVODI!A:A,0),MATCH(NASLOV!$B$2,PRIJEVODI!$B$1:$D$1,0))</f>
        <v>ABZUGSFÄHIG</v>
      </c>
      <c r="Q23" s="268" t="str">
        <f>INDEX(PRIJEVODI!B:D,MATCH("URA75-026",PRIJEVODI!A:A,0),MATCH(NASLOV!$B$2,PRIJEVODI!$B$1:$D$1,0))</f>
        <v>NICHT ABZUGSFÄHIG</v>
      </c>
      <c r="R23" s="268" t="str">
        <f>INDEX(PRIJEVODI!B:D,MATCH("URA75-028",PRIJEVODI!A:A,0),MATCH(NASLOV!$B$2,PRIJEVODI!$B$1:$D$1,0))</f>
        <v>ABZUGSFÄHIG</v>
      </c>
      <c r="S23" s="268" t="str">
        <f>INDEX(PRIJEVODI!B:D,MATCH("URA75-029",PRIJEVODI!A:A,0),MATCH(NASLOV!$B$2,PRIJEVODI!$B$1:$D$1,0))</f>
        <v>NICHT ABZUGSFÄHIG</v>
      </c>
    </row>
    <row r="24" spans="2:19" x14ac:dyDescent="0.2">
      <c r="B24" s="247"/>
      <c r="C24" s="260"/>
      <c r="D24" s="260"/>
      <c r="E24" s="264"/>
      <c r="F24" s="265"/>
      <c r="G24" s="269"/>
      <c r="H24" s="276"/>
      <c r="I24" s="297"/>
      <c r="J24" s="298"/>
      <c r="K24" s="269"/>
      <c r="L24" s="48" t="str">
        <f>INDEX(PRIJEVODI!B:D,MATCH("URA75-019",PRIJEVODI!A:A,0),MATCH(NASLOV!$B$2,PRIJEVODI!$B$1:$D$1,0))</f>
        <v>STEUERBEFREIUNGEN / ABZUGSFÄHIG</v>
      </c>
      <c r="M24" s="260"/>
      <c r="N24" s="269"/>
      <c r="O24" s="269"/>
      <c r="P24" s="269"/>
      <c r="Q24" s="269"/>
      <c r="R24" s="269"/>
      <c r="S24" s="269"/>
    </row>
    <row r="25" spans="2:19" x14ac:dyDescent="0.2">
      <c r="B25" s="247"/>
      <c r="C25" s="260"/>
      <c r="D25" s="260"/>
      <c r="E25" s="264"/>
      <c r="F25" s="265"/>
      <c r="G25" s="269"/>
      <c r="H25" s="277"/>
      <c r="I25" s="295"/>
      <c r="J25" s="296"/>
      <c r="K25" s="269"/>
      <c r="L25" s="46"/>
      <c r="M25" s="260"/>
      <c r="N25" s="269"/>
      <c r="O25" s="269"/>
      <c r="P25" s="269"/>
      <c r="Q25" s="269"/>
      <c r="R25" s="269"/>
      <c r="S25" s="269"/>
    </row>
    <row r="26" spans="2:19" x14ac:dyDescent="0.2">
      <c r="B26" s="247"/>
      <c r="C26" s="260"/>
      <c r="D26" s="260"/>
      <c r="E26" s="264"/>
      <c r="F26" s="265"/>
      <c r="G26" s="269"/>
      <c r="H26" s="292">
        <v>0.05</v>
      </c>
      <c r="I26" s="292">
        <v>0.1</v>
      </c>
      <c r="J26" s="292">
        <v>0.25</v>
      </c>
      <c r="K26" s="269"/>
      <c r="L26" s="46"/>
      <c r="M26" s="260"/>
      <c r="N26" s="269"/>
      <c r="O26" s="269"/>
      <c r="P26" s="269"/>
      <c r="Q26" s="269"/>
      <c r="R26" s="269"/>
      <c r="S26" s="269"/>
    </row>
    <row r="27" spans="2:19" x14ac:dyDescent="0.2">
      <c r="B27" s="248"/>
      <c r="C27" s="261"/>
      <c r="D27" s="261"/>
      <c r="E27" s="266"/>
      <c r="F27" s="267"/>
      <c r="G27" s="270"/>
      <c r="H27" s="261"/>
      <c r="I27" s="261"/>
      <c r="J27" s="261"/>
      <c r="K27" s="270"/>
      <c r="L27" s="47"/>
      <c r="M27" s="261"/>
      <c r="N27" s="270"/>
      <c r="O27" s="270"/>
      <c r="P27" s="270"/>
      <c r="Q27" s="270"/>
      <c r="R27" s="270"/>
      <c r="S27" s="270"/>
    </row>
    <row r="28" spans="2:19" x14ac:dyDescent="0.2">
      <c r="B28" s="33">
        <v>1</v>
      </c>
      <c r="C28" s="33">
        <v>2</v>
      </c>
      <c r="D28" s="33">
        <v>3</v>
      </c>
      <c r="E28" s="275">
        <v>4</v>
      </c>
      <c r="F28" s="291"/>
      <c r="G28" s="33">
        <v>5</v>
      </c>
      <c r="H28" s="33">
        <v>6</v>
      </c>
      <c r="I28" s="33">
        <v>7</v>
      </c>
      <c r="J28" s="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2:19" x14ac:dyDescent="0.2">
      <c r="B29" s="74"/>
      <c r="C29" s="69"/>
      <c r="D29" s="70"/>
      <c r="E29" s="71"/>
      <c r="F29" s="2"/>
      <c r="G29" s="71"/>
      <c r="H29" s="75"/>
      <c r="I29" s="75"/>
      <c r="J29" s="2"/>
      <c r="K29" s="76"/>
      <c r="L29" s="73"/>
      <c r="M29" s="77"/>
      <c r="N29" s="2"/>
      <c r="O29" s="2"/>
      <c r="P29" s="2"/>
      <c r="Q29" s="2"/>
      <c r="R29" s="34"/>
      <c r="S29" s="2"/>
    </row>
    <row r="30" spans="2:19" x14ac:dyDescent="0.2">
      <c r="B30" s="74"/>
      <c r="C30" s="69"/>
      <c r="D30" s="70"/>
      <c r="E30" s="71"/>
      <c r="F30" s="2"/>
      <c r="G30" s="71"/>
      <c r="H30" s="75"/>
      <c r="I30" s="75"/>
      <c r="J30" s="2"/>
      <c r="K30" s="76"/>
      <c r="L30" s="73"/>
      <c r="M30" s="77"/>
      <c r="N30" s="2"/>
      <c r="O30" s="2"/>
      <c r="P30" s="2"/>
      <c r="Q30" s="2"/>
      <c r="R30" s="34"/>
      <c r="S30" s="2"/>
    </row>
    <row r="31" spans="2:19" x14ac:dyDescent="0.2">
      <c r="B31" s="74"/>
      <c r="C31" s="69"/>
      <c r="D31" s="70"/>
      <c r="E31" s="71"/>
      <c r="F31" s="2"/>
      <c r="G31" s="71"/>
      <c r="H31" s="75"/>
      <c r="I31" s="75"/>
      <c r="J31" s="2"/>
      <c r="K31" s="76"/>
      <c r="L31" s="73"/>
      <c r="M31" s="77"/>
      <c r="N31" s="2"/>
      <c r="O31" s="2"/>
      <c r="P31" s="2"/>
      <c r="Q31" s="2"/>
      <c r="R31" s="34"/>
      <c r="S31" s="2"/>
    </row>
    <row r="32" spans="2:19" x14ac:dyDescent="0.2">
      <c r="B32" s="74"/>
      <c r="C32" s="69"/>
      <c r="D32" s="70"/>
      <c r="E32" s="71"/>
      <c r="F32" s="2"/>
      <c r="G32" s="71"/>
      <c r="H32" s="75"/>
      <c r="I32" s="75"/>
      <c r="J32" s="2"/>
      <c r="K32" s="76"/>
      <c r="L32" s="73"/>
      <c r="M32" s="77"/>
      <c r="N32" s="2"/>
      <c r="O32" s="2"/>
      <c r="P32" s="2"/>
      <c r="Q32" s="2"/>
      <c r="R32" s="34"/>
      <c r="S32" s="2"/>
    </row>
    <row r="33" spans="2:19" x14ac:dyDescent="0.2">
      <c r="B33" s="74"/>
      <c r="C33" s="69"/>
      <c r="D33" s="70"/>
      <c r="E33" s="71"/>
      <c r="F33" s="2"/>
      <c r="G33" s="71"/>
      <c r="H33" s="75"/>
      <c r="I33" s="75"/>
      <c r="J33" s="2"/>
      <c r="K33" s="76"/>
      <c r="L33" s="73"/>
      <c r="M33" s="77"/>
      <c r="N33" s="2"/>
      <c r="O33" s="2"/>
      <c r="P33" s="2"/>
      <c r="Q33" s="2"/>
      <c r="R33" s="34"/>
      <c r="S33" s="2"/>
    </row>
    <row r="34" spans="2:19" x14ac:dyDescent="0.2">
      <c r="B34" s="74"/>
      <c r="C34" s="69"/>
      <c r="D34" s="70"/>
      <c r="E34" s="71"/>
      <c r="F34" s="2"/>
      <c r="G34" s="71"/>
      <c r="H34" s="75"/>
      <c r="I34" s="75"/>
      <c r="J34" s="2"/>
      <c r="K34" s="76"/>
      <c r="L34" s="73"/>
      <c r="M34" s="77"/>
      <c r="N34" s="2"/>
      <c r="O34" s="2"/>
      <c r="P34" s="2"/>
      <c r="Q34" s="2"/>
      <c r="R34" s="34"/>
      <c r="S34" s="2"/>
    </row>
    <row r="35" spans="2:19" x14ac:dyDescent="0.2">
      <c r="B35" s="74"/>
      <c r="C35" s="69"/>
      <c r="D35" s="70"/>
      <c r="E35" s="71"/>
      <c r="F35" s="2"/>
      <c r="G35" s="71"/>
      <c r="H35" s="75"/>
      <c r="I35" s="75"/>
      <c r="J35" s="2"/>
      <c r="K35" s="76"/>
      <c r="L35" s="73"/>
      <c r="M35" s="77"/>
      <c r="N35" s="2"/>
      <c r="O35" s="2"/>
      <c r="P35" s="2"/>
      <c r="Q35" s="2"/>
      <c r="R35" s="34"/>
      <c r="S35" s="2"/>
    </row>
    <row r="36" spans="2:19" x14ac:dyDescent="0.2">
      <c r="B36" s="74"/>
      <c r="C36" s="69"/>
      <c r="D36" s="70"/>
      <c r="E36" s="71"/>
      <c r="F36" s="2"/>
      <c r="G36" s="71"/>
      <c r="H36" s="75"/>
      <c r="I36" s="75"/>
      <c r="J36" s="2"/>
      <c r="K36" s="76"/>
      <c r="L36" s="73"/>
      <c r="M36" s="77"/>
      <c r="N36" s="2"/>
      <c r="O36" s="2"/>
      <c r="P36" s="2"/>
      <c r="Q36" s="2"/>
      <c r="R36" s="34"/>
      <c r="S36" s="2"/>
    </row>
    <row r="37" spans="2:19" x14ac:dyDescent="0.2">
      <c r="K37" s="35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7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38"/>
    </row>
    <row r="4" spans="2:4" ht="13.5" thickBot="1" x14ac:dyDescent="0.25"/>
    <row r="5" spans="2:4" x14ac:dyDescent="0.2">
      <c r="B5" s="306" t="str">
        <f>INDEX(PRIJEVODI!B:D,MATCH("PDV-002",PRIJEVODI!A:A,0),MATCH(NASLOV!$B$2,PRIJEVODI!$B$1:$D$1,0))</f>
        <v>STEUERPFLICHTIGER (VOR- /NACHNAME UND ADRESSE: Ort, Strasse und Hausnummer)</v>
      </c>
      <c r="C5" s="315" t="str">
        <f>INDEX(PRIJEVODI!B:D,MATCH("PDV-003",PRIJEVODI!A:A,0),MATCH(NASLOV!$B$2,PRIJEVODI!$B$1:$D$1,0))</f>
        <v>STEUERLICHER VERTRETER
 (VOR- /NACHNAME UND ADRESSE:Ort, Strasse und Hausnummer)</v>
      </c>
      <c r="D5" s="312" t="str">
        <f>INDEX(PRIJEVODI!B:D,MATCH("PDV-004",PRIJEVODI!A:A,0),MATCH(NASLOV!$B$2,PRIJEVODI!$B$1:$D$1,0))</f>
        <v>ZUSTÄNDIGES FINANZAMT</v>
      </c>
    </row>
    <row r="6" spans="2:4" x14ac:dyDescent="0.2">
      <c r="B6" s="307"/>
      <c r="C6" s="316"/>
      <c r="D6" s="313"/>
    </row>
    <row r="7" spans="2:4" x14ac:dyDescent="0.2">
      <c r="B7" s="308"/>
      <c r="C7" s="317"/>
      <c r="D7" s="314"/>
    </row>
    <row r="8" spans="2:4" x14ac:dyDescent="0.2">
      <c r="B8" s="309" t="str">
        <f>+NASLOV!B5</f>
        <v>Markus Renz</v>
      </c>
      <c r="C8" s="318"/>
      <c r="D8" s="321" t="str">
        <f>NASLOV!B15</f>
        <v>Zagreb, Odjel za strane porezne obveznike</v>
      </c>
    </row>
    <row r="9" spans="2:4" x14ac:dyDescent="0.2">
      <c r="B9" s="310"/>
      <c r="C9" s="319"/>
      <c r="D9" s="322"/>
    </row>
    <row r="10" spans="2:4" ht="24.6" customHeight="1" x14ac:dyDescent="0.2">
      <c r="B10" s="311"/>
      <c r="C10" s="320"/>
      <c r="D10" s="303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300" t="str">
        <f>INDEX(PRIJEVODI!B:D,MATCH("PDV-005",PRIJEVODI!A:A,0),MATCH(NASLOV!$B$2,PRIJEVODI!$B$1:$D$1,0))</f>
        <v>KLASSIFIKATION GEMÄSS NOMENKLATUR
(TÄTIGKEITS-KENNZIFFER)</v>
      </c>
      <c r="C11" s="268" t="str">
        <f>INDEX(PRIJEVODI!B:D,MATCH("PDV-006",PRIJEVODI!A:A,0),MATCH(NASLOV!$B$2,PRIJEVODI!$B$1:$D$1,0))</f>
        <v>STEUERNUMMER</v>
      </c>
      <c r="D11" s="304"/>
    </row>
    <row r="12" spans="2:4" x14ac:dyDescent="0.2">
      <c r="B12" s="301"/>
      <c r="C12" s="269"/>
      <c r="D12" s="304"/>
    </row>
    <row r="13" spans="2:4" x14ac:dyDescent="0.2">
      <c r="B13" s="302"/>
      <c r="C13" s="270"/>
      <c r="D13" s="304"/>
    </row>
    <row r="14" spans="2:4" ht="13.5" thickBot="1" x14ac:dyDescent="0.25">
      <c r="B14" s="49" t="str">
        <f>+NASLOV!B9</f>
        <v>HR6411581446</v>
      </c>
      <c r="C14" s="13"/>
      <c r="D14" s="305"/>
    </row>
    <row r="15" spans="2:4" ht="45" customHeight="1" thickBot="1" x14ac:dyDescent="0.25">
      <c r="B15" s="11" t="str">
        <f>INDEX(PRIJEVODI!B:D,MATCH("PDV-008",PRIJEVODI!A:A,0),MATCH(NASLOV!$B$2,PRIJEVODI!$B$1:$D$1,0))</f>
        <v>BESCHREIBUNG</v>
      </c>
      <c r="C15" s="12" t="str">
        <f>INDEX(PRIJEVODI!B:D,MATCH("PDV-009",PRIJEVODI!A:A,0),MATCH(NASLOV!$B$2,PRIJEVODI!$B$1:$D$1,0))</f>
        <v>Lieferwert
(Betrag in Kuna und Lipa)</v>
      </c>
      <c r="D15" s="52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4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3" t="e">
        <f>C17+C28</f>
        <v>#REF!</v>
      </c>
      <c r="D16" s="53" t="s">
        <v>6</v>
      </c>
    </row>
    <row r="17" spans="2:5" ht="25.5" x14ac:dyDescent="0.2">
      <c r="B17" s="15" t="str">
        <f>INDEX(PRIJEVODI!B:D,MATCH("PDV-012",PRIJEVODI!A:A,0),MATCH(NASLOV!$B$2,PRIJEVODI!$B$1:$D$1,0))</f>
        <v>I. NICHT STEUERBARE UND BEFREITE TRANSAKTIONEN - INSGESAMT (1+2+3+4+5+6+7+8+9+10)</v>
      </c>
      <c r="C17" s="24">
        <f>SUM(C18:C27)</f>
        <v>0</v>
      </c>
      <c r="D17" s="53" t="s">
        <v>6</v>
      </c>
    </row>
    <row r="18" spans="2:5" ht="37.5" customHeight="1" x14ac:dyDescent="0.2">
      <c r="B18" s="27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6">
        <v>0</v>
      </c>
      <c r="D18" s="53" t="s">
        <v>6</v>
      </c>
    </row>
    <row r="19" spans="2:5" x14ac:dyDescent="0.2">
      <c r="B19" s="7" t="str">
        <f>INDEX(PRIJEVODI!B:D,MATCH("PDV-014",PRIJEVODI!A:A,0),MATCH(NASLOV!$B$2,PRIJEVODI!$B$1:$D$1,0))</f>
        <v>2.   LIEFERUNGEN VON GÜTERN IN ANDERE MITGLIEDSTAATEN</v>
      </c>
      <c r="C19" s="26">
        <v>0</v>
      </c>
      <c r="D19" s="53" t="s">
        <v>6</v>
      </c>
    </row>
    <row r="20" spans="2:5" x14ac:dyDescent="0.2">
      <c r="B20" s="8" t="str">
        <f>INDEX(PRIJEVODI!B:D,MATCH("PDV-015",PRIJEVODI!A:A,0),MATCH(NASLOV!$B$2,PRIJEVODI!$B$1:$D$1,0))</f>
        <v>3.   LIEFERUNGEN VON GÜTERN INNERHALB DER EU</v>
      </c>
      <c r="C20" s="26">
        <v>0</v>
      </c>
      <c r="D20" s="53" t="s">
        <v>6</v>
      </c>
      <c r="E20" s="28"/>
    </row>
    <row r="21" spans="2:5" x14ac:dyDescent="0.2">
      <c r="B21" s="8" t="str">
        <f>INDEX(PRIJEVODI!B:D,MATCH("PDV-016",PRIJEVODI!A:A,0),MATCH(NASLOV!$B$2,PRIJEVODI!$B$1:$D$1,0))</f>
        <v>4.   ERBRACHTE DIENSTLEISTUNGEN INNERHALB DER EU</v>
      </c>
      <c r="C21" s="26">
        <v>0</v>
      </c>
      <c r="D21" s="53" t="s">
        <v>6</v>
      </c>
    </row>
    <row r="22" spans="2:5" ht="26.45" customHeight="1" x14ac:dyDescent="0.2">
      <c r="B22" s="9" t="str">
        <f>INDEX(PRIJEVODI!B:D,MATCH("PDV-017",PRIJEVODI!A:A,0),MATCH(NASLOV!$B$2,PRIJEVODI!$B$1:$D$1,0))</f>
        <v xml:space="preserve">5.   ERBRACHTE DIENSTLEISTUNGEN AN PERSONEN OHNE SITZ IN KROATIEN       </v>
      </c>
      <c r="C22" s="26">
        <v>0</v>
      </c>
      <c r="D22" s="53" t="s">
        <v>6</v>
      </c>
    </row>
    <row r="23" spans="2:5" ht="27" customHeight="1" x14ac:dyDescent="0.2">
      <c r="B23" s="7" t="str">
        <f>INDEX(PRIJEVODI!B:D,MATCH("PDV-018",PRIJEVODI!A:A,0),MATCH(NASLOV!$B$2,PRIJEVODI!$B$1:$D$1,0))</f>
        <v>6.   MONTAGE UND INSTALLATION VON GÜTERN IN EINEM ANDEREN MITGLIEDSTAAT</v>
      </c>
      <c r="C23" s="26">
        <v>0</v>
      </c>
      <c r="D23" s="53" t="s">
        <v>6</v>
      </c>
    </row>
    <row r="24" spans="2:5" ht="12.75" customHeight="1" x14ac:dyDescent="0.2">
      <c r="B24" s="7" t="str">
        <f>INDEX(PRIJEVODI!B:D,MATCH("PDV-019",PRIJEVODI!A:A,0),MATCH(NASLOV!$B$2,PRIJEVODI!$B$1:$D$1,0))</f>
        <v xml:space="preserve">7.   LIEFERUNGEN VON NEUEN FAHRZEUGEN IN DIE EU </v>
      </c>
      <c r="C24" s="26">
        <v>0</v>
      </c>
      <c r="D24" s="53" t="s">
        <v>6</v>
      </c>
    </row>
    <row r="25" spans="2:5" x14ac:dyDescent="0.2">
      <c r="B25" s="8" t="str">
        <f>INDEX(PRIJEVODI!B:D,MATCH("PDV-020",PRIJEVODI!A:A,0),MATCH(NASLOV!$B$2,PRIJEVODI!$B$1:$D$1,0))</f>
        <v xml:space="preserve">8.   INLÄNDISCHE LIEFERUNGEN       </v>
      </c>
      <c r="C25" s="26">
        <v>0</v>
      </c>
      <c r="D25" s="53" t="s">
        <v>6</v>
      </c>
    </row>
    <row r="26" spans="2:5" x14ac:dyDescent="0.2">
      <c r="B26" s="8" t="str">
        <f>INDEX(PRIJEVODI!B:D,MATCH("PDV-021",PRIJEVODI!A:A,0),MATCH(NASLOV!$B$2,PRIJEVODI!$B$1:$D$1,0))</f>
        <v>9.   AUSFUHR DIENSTLEISTUNGEN</v>
      </c>
      <c r="C26" s="26">
        <v>0</v>
      </c>
      <c r="D26" s="53" t="s">
        <v>6</v>
      </c>
    </row>
    <row r="27" spans="2:5" ht="13.5" thickBot="1" x14ac:dyDescent="0.25">
      <c r="B27" s="16" t="str">
        <f>INDEX(PRIJEVODI!B:D,MATCH("PDV-022",PRIJEVODI!A:A,0),MATCH(NASLOV!$B$2,PRIJEVODI!$B$1:$D$1,0))</f>
        <v>10.   SONSTIGE BEFREIUNGEN</v>
      </c>
      <c r="C27" s="26">
        <v>0</v>
      </c>
      <c r="D27" s="54"/>
    </row>
    <row r="28" spans="2:5" ht="27" customHeight="1" x14ac:dyDescent="0.2">
      <c r="B28" s="17" t="str">
        <f>INDEX(PRIJEVODI!B:D,MATCH("PDV-023",PRIJEVODI!A:A,0),MATCH(NASLOV!$B$2,PRIJEVODI!$B$1:$D$1,0))</f>
        <v>II. STEUERBARE TRANSAKTIONEN – INSGESAMT 
(1+2+3+4+5+6+7+8+9+10+11+12+13+14+15)</v>
      </c>
      <c r="C28" s="25" t="e">
        <f>SUM(C29:C43)-0.01</f>
        <v>#REF!</v>
      </c>
      <c r="D28" s="55" t="e">
        <f>SUM(D29:D43)-0.01</f>
        <v>#REF!</v>
      </c>
    </row>
    <row r="29" spans="2:5" ht="29.45" customHeight="1" x14ac:dyDescent="0.2">
      <c r="B29" s="19" t="str">
        <f>INDEX(PRIJEVODI!B:D,MATCH("PDV-024",PRIJEVODI!A:A,0),MATCH(NASLOV!$B$2,PRIJEVODI!$B$1:$D$1,0))</f>
        <v>1.   LIEFERUNGEN VON GÜTERN UND DIENSTLEISTUNGEN IN KROATIEN 
ZUM STEUERSATZ VON 5%</v>
      </c>
      <c r="C29" s="26">
        <f>'I-RA'!S93</f>
        <v>0</v>
      </c>
      <c r="D29" s="26">
        <f>'I-RA'!T93</f>
        <v>0</v>
      </c>
    </row>
    <row r="30" spans="2:5" ht="27" customHeight="1" x14ac:dyDescent="0.2">
      <c r="B30" s="19" t="str">
        <f>INDEX(PRIJEVODI!B:D,MATCH("PDV-025",PRIJEVODI!A:A,0),MATCH(NASLOV!$B$2,PRIJEVODI!$B$1:$D$1,0))</f>
        <v>2.   LIEFERUNGEN VON GÜTERN UND DIENSTLEISTUNGEN IN KROATIEN 
ZUM STEUERSATZ VON  13%</v>
      </c>
      <c r="C30" s="56">
        <f>'I-RA'!U93</f>
        <v>7897.04</v>
      </c>
      <c r="D30" s="56">
        <f>'I-RA'!V93</f>
        <v>1026.6152000000002</v>
      </c>
    </row>
    <row r="31" spans="2:5" ht="47.45" customHeight="1" x14ac:dyDescent="0.2">
      <c r="B31" s="19" t="str">
        <f>INDEX(PRIJEVODI!B:D,MATCH("PDV-026",PRIJEVODI!A:A,0),MATCH(NASLOV!$B$2,PRIJEVODI!$B$1:$D$1,0))</f>
        <v>3.   LIEFERUNGEN VON GÜTERN UND DIENSTLEISTUNGEN IN KROATIEN 
ZUM STEUERSATZ VON   25%</v>
      </c>
      <c r="C31" s="56">
        <v>0</v>
      </c>
      <c r="D31" s="56">
        <v>0</v>
      </c>
      <c r="E31" s="28"/>
    </row>
    <row r="32" spans="2:5" ht="37.5" customHeight="1" x14ac:dyDescent="0.2">
      <c r="B32" s="7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6">
        <v>0</v>
      </c>
      <c r="D32" s="56">
        <v>0</v>
      </c>
    </row>
    <row r="33" spans="2:8" ht="26.25" customHeight="1" x14ac:dyDescent="0.2">
      <c r="B33" s="7" t="str">
        <f>INDEX(PRIJEVODI!B:D,MATCH("PDV-028",PRIJEVODI!A:A,0),MATCH(NASLOV!$B$2,PRIJEVODI!$B$1:$D$1,0))</f>
        <v>5. ERWERB VON GÜTERN INNERHALB DER EU ZUM STEUERSATZ VON  5%</v>
      </c>
      <c r="C33" s="26">
        <v>0</v>
      </c>
      <c r="D33" s="56">
        <v>0</v>
      </c>
    </row>
    <row r="34" spans="2:8" ht="25.15" customHeight="1" x14ac:dyDescent="0.2">
      <c r="B34" s="7" t="str">
        <f>INDEX(PRIJEVODI!B:D,MATCH("PDV-029",PRIJEVODI!A:A,0),MATCH(NASLOV!$B$2,PRIJEVODI!$B$1:$D$1,0))</f>
        <v>6.  ERWERB VON GÜTERN INNERHALB DER EU ZUM STEUERSATZ VON  13%</v>
      </c>
      <c r="C34" s="26">
        <v>0</v>
      </c>
      <c r="D34" s="56">
        <v>0</v>
      </c>
    </row>
    <row r="35" spans="2:8" ht="25.15" customHeight="1" x14ac:dyDescent="0.2">
      <c r="B35" s="7" t="str">
        <f>INDEX(PRIJEVODI!B:D,MATCH("PDV-030",PRIJEVODI!A:A,0),MATCH(NASLOV!$B$2,PRIJEVODI!$B$1:$D$1,0))</f>
        <v>7.  ERWERB VON GÜTERN INNERHALB DER EU ZUM STEUERSATZ VON  25%</v>
      </c>
      <c r="C35" s="26">
        <f>C51</f>
        <v>0</v>
      </c>
      <c r="D35" s="56">
        <v>0</v>
      </c>
      <c r="E35" s="29"/>
    </row>
    <row r="36" spans="2:8" x14ac:dyDescent="0.2">
      <c r="B36" s="7" t="str">
        <f>INDEX(PRIJEVODI!B:D,MATCH("PDV-031",PRIJEVODI!A:A,0),MATCH(NASLOV!$B$2,PRIJEVODI!$B$1:$D$1,0))</f>
        <v>8.  EMPFANGENE DIENSTLEISTUNGEN AUS DER EU ZUM STEUERSATZ VON  5%</v>
      </c>
      <c r="C36" s="26">
        <v>0</v>
      </c>
      <c r="D36" s="56">
        <v>0</v>
      </c>
    </row>
    <row r="37" spans="2:8" x14ac:dyDescent="0.2">
      <c r="B37" s="7" t="str">
        <f>INDEX(PRIJEVODI!B:D,MATCH("PDV-032",PRIJEVODI!A:A,0),MATCH(NASLOV!$B$2,PRIJEVODI!$B$1:$D$1,0))</f>
        <v>9. EMPFANGENE DIENSTLEISTUNGEN AUS DER EU ZUM STEUERSATZ VON 13%</v>
      </c>
      <c r="C37" s="26">
        <v>0</v>
      </c>
      <c r="D37" s="56">
        <v>0</v>
      </c>
    </row>
    <row r="38" spans="2:8" x14ac:dyDescent="0.2">
      <c r="B38" s="7" t="str">
        <f>INDEX(PRIJEVODI!B:D,MATCH("PDV-033",PRIJEVODI!A:A,0),MATCH(NASLOV!$B$2,PRIJEVODI!$B$1:$D$1,0))</f>
        <v>10.  EMPFANGENE DIENSTLEISTUNGEN AUS DER EU ZUM STEUERSATZ VON 25%</v>
      </c>
      <c r="C38" s="26" t="e">
        <f>+C54</f>
        <v>#REF!</v>
      </c>
      <c r="D38" s="56" t="e">
        <f>+C38*0.25</f>
        <v>#REF!</v>
      </c>
    </row>
    <row r="39" spans="2:8" ht="25.5" x14ac:dyDescent="0.2">
      <c r="B39" s="7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6">
        <v>0</v>
      </c>
      <c r="D39" s="56">
        <v>0</v>
      </c>
    </row>
    <row r="40" spans="2:8" ht="37.5" customHeight="1" x14ac:dyDescent="0.2">
      <c r="B40" s="7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6">
        <v>0</v>
      </c>
      <c r="D40" s="56">
        <v>0</v>
      </c>
    </row>
    <row r="41" spans="2:8" ht="37.5" customHeight="1" x14ac:dyDescent="0.2">
      <c r="B41" s="7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6">
        <v>0</v>
      </c>
      <c r="D41" s="56">
        <v>0</v>
      </c>
    </row>
    <row r="42" spans="2:8" ht="26.25" customHeight="1" x14ac:dyDescent="0.2">
      <c r="B42" s="27" t="str">
        <f>INDEX(PRIJEVODI!B:D,MATCH("PDV-037",PRIJEVODI!A:A,0),MATCH(NASLOV!$B$2,PRIJEVODI!$B$1:$D$1,0))</f>
        <v xml:space="preserve">14. NACHTRÄ'GLICHE BEFREIUNG DER AUSFUHR IM RAHMEN DES PERSONENVERKEHRS </v>
      </c>
      <c r="C42" s="26">
        <v>0</v>
      </c>
      <c r="D42" s="56">
        <v>0</v>
      </c>
    </row>
    <row r="43" spans="2:8" ht="13.5" thickBot="1" x14ac:dyDescent="0.25">
      <c r="B43" s="10" t="str">
        <f>INDEX(PRIJEVODI!B:D,MATCH("PDV-038",PRIJEVODI!A:A,0),MATCH(NASLOV!$B$2,PRIJEVODI!$B$1:$D$1,0))</f>
        <v>15. ABGERECHNETE EINFUHRUMSATZSTEUER</v>
      </c>
      <c r="C43" s="26">
        <v>0</v>
      </c>
      <c r="D43" s="56">
        <v>0</v>
      </c>
    </row>
    <row r="44" spans="2:8" ht="33.6" customHeight="1" x14ac:dyDescent="0.2">
      <c r="B44" s="17" t="str">
        <f>INDEX(PRIJEVODI!B:D,MATCH("PDV-039",PRIJEVODI!A:A,0),MATCH(NASLOV!$B$2,PRIJEVODI!$B$1:$D$1,0))</f>
        <v xml:space="preserve">III. ABGERECHNETE VORSTEUER - INSGESAMT (1+2+3+4+ 5 + 6+7+8+9+10+11+12+13+14+15) </v>
      </c>
      <c r="C44" s="25" t="e">
        <f>SUM(C45:C59)-0.01</f>
        <v>#REF!</v>
      </c>
      <c r="D44" s="55" t="e">
        <f>SUM(D45:D59)-0.01</f>
        <v>#REF!</v>
      </c>
    </row>
    <row r="45" spans="2:8" ht="18" customHeight="1" x14ac:dyDescent="0.2">
      <c r="B45" s="8" t="str">
        <f>INDEX(PRIJEVODI!B:D,MATCH("PDV-040",PRIJEVODI!A:A,0),MATCH(NASLOV!$B$2,PRIJEVODI!$B$1:$D$1,0))</f>
        <v>1. VORSTEUER AUS EMPFANGENEN LIEFERUNGEN IM INLAND 
ZUM STEUERSAZ VON 5%</v>
      </c>
      <c r="C45" s="26">
        <f>+'U-RA'!H230</f>
        <v>0</v>
      </c>
      <c r="D45" s="57">
        <f>+'U-RA'!N230</f>
        <v>0</v>
      </c>
      <c r="H45" s="35">
        <f>+D30-D46-D47</f>
        <v>-446.93849999999998</v>
      </c>
    </row>
    <row r="46" spans="2:8" ht="18" customHeight="1" x14ac:dyDescent="0.2">
      <c r="B46" s="8" t="str">
        <f>INDEX(PRIJEVODI!B:D,MATCH("PDV-041",PRIJEVODI!A:A,0),MATCH(NASLOV!$B$2,PRIJEVODI!$B$1:$D$1,0))</f>
        <v>2. VORSTEUER AUS EMPFANGENEN LIEFERUNGEN IM INLAND 
ZUM STEUERSATZ VON 13%</v>
      </c>
      <c r="C46" s="56">
        <f>+'U-RA'!I230</f>
        <v>200.73999999999998</v>
      </c>
      <c r="D46" s="56">
        <f>+C46*0.13</f>
        <v>26.0962</v>
      </c>
    </row>
    <row r="47" spans="2:8" ht="18" customHeight="1" x14ac:dyDescent="0.2">
      <c r="B47" s="8" t="str">
        <f>INDEX(PRIJEVODI!B:D,MATCH("PDV-042",PRIJEVODI!A:A,0),MATCH(NASLOV!$B$2,PRIJEVODI!$B$1:$D$1,0))</f>
        <v>3. VORSTEUER AUS EMPFANGENEN LIEFERUNGEN IM INLAND 
ZUM STEUERSAT*Z VON 25%</v>
      </c>
      <c r="C47" s="56">
        <f>+'U-RA'!J230</f>
        <v>5789.7900000000009</v>
      </c>
      <c r="D47" s="56">
        <f>+C47*0.25+0.01</f>
        <v>1447.4575000000002</v>
      </c>
    </row>
    <row r="48" spans="2:8" ht="41.25" customHeight="1" x14ac:dyDescent="0.2">
      <c r="B48" s="7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6">
        <v>0</v>
      </c>
      <c r="D48" s="56">
        <v>0</v>
      </c>
    </row>
    <row r="49" spans="2:6" ht="25.5" x14ac:dyDescent="0.2">
      <c r="B49" s="7" t="str">
        <f>INDEX(PRIJEVODI!B:D,MATCH("PDV-044",PRIJEVODI!A:A,0),MATCH(NASLOV!$B$2,PRIJEVODI!$B$1:$D$1,0))</f>
        <v>5. VORSTEUER AUS DEM ERWERB VON GÜTERN INNERHALB DER EU 
ZUM STEUERSATZ VON 5%</v>
      </c>
      <c r="C49" s="26">
        <v>0</v>
      </c>
      <c r="D49" s="56">
        <v>0</v>
      </c>
    </row>
    <row r="50" spans="2:6" ht="25.5" x14ac:dyDescent="0.2">
      <c r="B50" s="7" t="str">
        <f>INDEX(PRIJEVODI!B:D,MATCH("PDV-045",PRIJEVODI!A:A,0),MATCH(NASLOV!$B$2,PRIJEVODI!$B$1:$D$1,0))</f>
        <v>6. VORSTEUER AUS DEM ERWERB VON GÜTERN INNERHALB DER EU ZUM STEUERSATZ VON 13%</v>
      </c>
      <c r="C50" s="26">
        <v>0</v>
      </c>
      <c r="D50" s="56">
        <v>0</v>
      </c>
      <c r="E50" s="29"/>
    </row>
    <row r="51" spans="2:6" ht="25.5" x14ac:dyDescent="0.2">
      <c r="B51" s="7" t="str">
        <f>INDEX(PRIJEVODI!B:D,MATCH("PDV-046",PRIJEVODI!A:A,0),MATCH(NASLOV!$B$2,PRIJEVODI!$B$1:$D$1,0))</f>
        <v>7. VORSTEUER AUS DEM ERWERB VON GÜTERN INNERHALB DER EU 
ZUM STEUERSATZ VON 25%</v>
      </c>
      <c r="C51" s="26">
        <v>0</v>
      </c>
      <c r="D51" s="56">
        <v>0</v>
      </c>
      <c r="E51" s="29"/>
    </row>
    <row r="52" spans="2:6" ht="25.5" x14ac:dyDescent="0.2">
      <c r="B52" s="7" t="str">
        <f>INDEX(PRIJEVODI!B:D,MATCH("PDV-047",PRIJEVODI!A:A,0),MATCH(NASLOV!$B$2,PRIJEVODI!$B$1:$D$1,0))</f>
        <v>8. VORSTEUER AUS DEM EMPFANG VON DIENSTLEISTUNGEN AUS DER EU 
ZUM STEUERSATZ VON 5%</v>
      </c>
      <c r="C52" s="26">
        <v>0</v>
      </c>
      <c r="D52" s="56">
        <v>0</v>
      </c>
    </row>
    <row r="53" spans="2:6" ht="25.5" x14ac:dyDescent="0.2">
      <c r="B53" s="7" t="str">
        <f>INDEX(PRIJEVODI!B:D,MATCH("PDV-048",PRIJEVODI!A:A,0),MATCH(NASLOV!$B$2,PRIJEVODI!$B$1:$D$1,0))</f>
        <v>9. VORSTEUER AUS DEM EMPFANG VON DIENSTLEISTUNGEN AUS DER EU 
ZUM STEUERSATZ VON 13%</v>
      </c>
      <c r="C53" s="26">
        <v>0</v>
      </c>
      <c r="D53" s="56">
        <v>0</v>
      </c>
    </row>
    <row r="54" spans="2:6" ht="25.5" x14ac:dyDescent="0.2">
      <c r="B54" s="7" t="str">
        <f>INDEX(PRIJEVODI!B:D,MATCH("PDV-049",PRIJEVODI!A:A,0),MATCH(NASLOV!$B$2,PRIJEVODI!$B$1:$D$1,0))</f>
        <v>10. VORSTEUER AUS DEM EMPFANG VON DIENSTLEISTUNGEN AUS DER EU 
ZUM STEUERSATZ VON 25%</v>
      </c>
      <c r="C54" s="26" t="e">
        <f>+'IC Aq'!#REF!+'IC Aq'!J29</f>
        <v>#REF!</v>
      </c>
      <c r="D54" s="56" t="e">
        <f>+'IC Aq'!#REF!+'IC Aq'!R29</f>
        <v>#REF!</v>
      </c>
    </row>
    <row r="55" spans="2:6" ht="37.5" customHeight="1" x14ac:dyDescent="0.2">
      <c r="B55" s="7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6">
        <v>0</v>
      </c>
      <c r="D55" s="56">
        <v>0</v>
      </c>
    </row>
    <row r="56" spans="2:6" ht="37.5" customHeight="1" x14ac:dyDescent="0.2">
      <c r="B56" s="7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6">
        <v>0</v>
      </c>
      <c r="D56" s="56">
        <v>0</v>
      </c>
    </row>
    <row r="57" spans="2:6" ht="37.5" customHeight="1" x14ac:dyDescent="0.2">
      <c r="B57" s="7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6">
        <v>0</v>
      </c>
      <c r="D57" s="56">
        <v>0</v>
      </c>
    </row>
    <row r="58" spans="2:6" x14ac:dyDescent="0.2">
      <c r="B58" s="7" t="str">
        <f>INDEX(PRIJEVODI!B:D,MATCH("PDV-053",PRIJEVODI!A:A,0),MATCH(NASLOV!$B$2,PRIJEVODI!$B$1:$D$1,0))</f>
        <v>14. VORSTEUER BEI DER EINFUHR</v>
      </c>
      <c r="C58" s="26">
        <v>0</v>
      </c>
      <c r="D58" s="56">
        <v>0</v>
      </c>
    </row>
    <row r="59" spans="2:6" ht="13.5" thickBot="1" x14ac:dyDescent="0.25">
      <c r="B59" s="10" t="str">
        <f>INDEX(PRIJEVODI!B:D,MATCH("PDV-054",PRIJEVODI!A:A,0),MATCH(NASLOV!$B$2,PRIJEVODI!$B$1:$D$1,0))</f>
        <v>15. BERICHTIGUNG VORSTEUER</v>
      </c>
      <c r="C59" s="26">
        <v>0</v>
      </c>
      <c r="D59" s="56">
        <v>0</v>
      </c>
    </row>
    <row r="60" spans="2:6" ht="26.25" customHeight="1" x14ac:dyDescent="0.2">
      <c r="B60" s="17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8"/>
      <c r="D60" s="58" t="e">
        <f>D28-D44</f>
        <v>#REF!</v>
      </c>
    </row>
    <row r="61" spans="2:6" ht="38.25" customHeight="1" x14ac:dyDescent="0.2">
      <c r="B61" s="15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5">
        <v>-3970.81</v>
      </c>
    </row>
    <row r="62" spans="2:6" x14ac:dyDescent="0.2">
      <c r="B62" s="20" t="str">
        <f>INDEX(PRIJEVODI!B:D,MATCH("PDV-057",PRIJEVODI!A:A,0),MATCH(NASLOV!$B$2,PRIJEVODI!$B$1:$D$1,0))</f>
        <v xml:space="preserve">VI. INSGESAMT DIFFERENZ: FÜR EINZAHLUNG / FÜR RÜCKERSTATTUNG </v>
      </c>
      <c r="C62" s="5"/>
      <c r="D62" s="57" t="e">
        <f>+D60+D61</f>
        <v>#REF!</v>
      </c>
    </row>
    <row r="63" spans="2:6" ht="25.5" customHeight="1" thickBot="1" x14ac:dyDescent="0.25">
      <c r="B63" s="21" t="str">
        <f>INDEX(PRIJEVODI!B:D,MATCH("PDV-058",PRIJEVODI!A:A,0),MATCH(NASLOV!$B$2,PRIJEVODI!$B$1:$D$1,0))</f>
        <v>VII. JÄHRLICHER PROPORTIONALER VORSTEUERERSTATTUNGSBETRA (%)</v>
      </c>
      <c r="C63" s="13"/>
      <c r="D63" s="59"/>
      <c r="F63" s="32"/>
    </row>
    <row r="64" spans="2:6" ht="64.5" customHeight="1" x14ac:dyDescent="0.2">
      <c r="E64" s="31"/>
      <c r="F64" s="32"/>
    </row>
    <row r="65" spans="1:6" x14ac:dyDescent="0.2">
      <c r="F65" s="32"/>
    </row>
    <row r="66" spans="1:6" x14ac:dyDescent="0.2">
      <c r="F66" s="32"/>
    </row>
    <row r="68" spans="1:6" x14ac:dyDescent="0.2">
      <c r="B68" s="50" t="s">
        <v>567</v>
      </c>
      <c r="C68" s="63">
        <v>0</v>
      </c>
      <c r="D68" s="50" t="s">
        <v>567</v>
      </c>
    </row>
    <row r="69" spans="1:6" x14ac:dyDescent="0.2">
      <c r="B69" s="1" t="s">
        <v>69</v>
      </c>
      <c r="C69" s="1" t="s">
        <v>70</v>
      </c>
      <c r="D69" s="1" t="s">
        <v>71</v>
      </c>
    </row>
    <row r="72" spans="1:6" x14ac:dyDescent="0.2">
      <c r="A72" s="299" t="s">
        <v>460</v>
      </c>
      <c r="B72" s="299"/>
      <c r="D72" s="5" t="s">
        <v>573</v>
      </c>
      <c r="E72" s="2"/>
    </row>
    <row r="73" spans="1:6" ht="63.75" x14ac:dyDescent="0.2">
      <c r="A73" s="62" t="s">
        <v>572</v>
      </c>
      <c r="B73" s="3"/>
      <c r="D73" s="61" t="s">
        <v>574</v>
      </c>
      <c r="E73" s="60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72" t="str">
        <f>NASLOV!B5</f>
        <v>Markus Renz</v>
      </c>
      <c r="B1" s="272"/>
      <c r="C1" s="272"/>
      <c r="D1" s="272"/>
      <c r="E1" s="272"/>
      <c r="F1" s="272"/>
    </row>
    <row r="2" spans="1:18" x14ac:dyDescent="0.2">
      <c r="A2" s="272"/>
      <c r="B2" s="272"/>
      <c r="C2" s="272"/>
      <c r="D2" s="272"/>
      <c r="E2" s="272"/>
      <c r="F2" s="272"/>
    </row>
    <row r="3" spans="1:18" x14ac:dyDescent="0.2">
      <c r="C3" s="237" t="str">
        <f>INDEX(PRIJEVODI!B:D,MATCH("URA75-001",PRIJEVODI!A:A,0),MATCH(NASLOV!$B$2,PRIJEVODI!$B$1:$D$1,0))</f>
        <v>STEUERPFLICHTIGER: NAME / NACHNAME</v>
      </c>
      <c r="D3" s="237"/>
      <c r="E3" s="237"/>
      <c r="F3" s="237"/>
      <c r="Q3" s="239"/>
      <c r="R3" s="239"/>
    </row>
    <row r="4" spans="1:18" x14ac:dyDescent="0.2">
      <c r="C4" s="271" t="str">
        <f>NASLOV!B7</f>
        <v>Am Sonnblick 6, Lichtenau</v>
      </c>
      <c r="D4" s="271"/>
      <c r="E4" s="271"/>
      <c r="F4" s="271"/>
    </row>
    <row r="5" spans="1:18" x14ac:dyDescent="0.2">
      <c r="C5" s="271"/>
      <c r="D5" s="271"/>
      <c r="E5" s="271"/>
      <c r="F5" s="271"/>
    </row>
    <row r="6" spans="1:18" x14ac:dyDescent="0.2">
      <c r="C6" s="237" t="str">
        <f>INDEX(PRIJEVODI!B:D,MATCH("URA75-002",PRIJEVODI!A:A,0),MATCH(NASLOV!$B$2,PRIJEVODI!$B$1:$D$1,0))</f>
        <v>ADRESSE: ORT, STRASSE UND HAUSNUMMER</v>
      </c>
      <c r="D6" s="237"/>
      <c r="E6" s="237"/>
      <c r="F6" s="237"/>
    </row>
    <row r="7" spans="1:18" x14ac:dyDescent="0.2">
      <c r="C7" s="273"/>
      <c r="D7" s="273"/>
      <c r="E7" s="273"/>
      <c r="F7" s="273"/>
    </row>
    <row r="8" spans="1:18" x14ac:dyDescent="0.2">
      <c r="C8" s="273"/>
      <c r="D8" s="273"/>
      <c r="E8" s="273"/>
      <c r="F8" s="273"/>
    </row>
    <row r="9" spans="1:18" x14ac:dyDescent="0.2">
      <c r="C9" s="237" t="str">
        <f>INDEX(PRIJEVODI!B:D,MATCH("URA75-003",PRIJEVODI!A:A,0),MATCH(NASLOV!$B$2,PRIJEVODI!$B$1:$D$1,0))</f>
        <v xml:space="preserve">NUMMERIERUNG GEMÄSS DEM NATIONALEN KLASSIFIZIERUNGSSYSTEM  </v>
      </c>
      <c r="D9" s="237"/>
      <c r="E9" s="237"/>
      <c r="F9" s="237"/>
    </row>
    <row r="10" spans="1:18" x14ac:dyDescent="0.2">
      <c r="C10" s="237"/>
      <c r="D10" s="237"/>
      <c r="E10" s="237"/>
      <c r="F10" s="237"/>
    </row>
    <row r="11" spans="1:18" x14ac:dyDescent="0.2">
      <c r="C11" s="271" t="str">
        <f>NASLOV!B9</f>
        <v>HR6411581446</v>
      </c>
      <c r="D11" s="271"/>
      <c r="E11" s="271"/>
      <c r="F11" s="271"/>
    </row>
    <row r="12" spans="1:18" x14ac:dyDescent="0.2">
      <c r="C12" s="271"/>
      <c r="D12" s="271"/>
      <c r="E12" s="271"/>
      <c r="F12" s="271"/>
    </row>
    <row r="13" spans="1:18" x14ac:dyDescent="0.2">
      <c r="C13" s="237" t="str">
        <f>INDEX(PRIJEVODI!B:D,MATCH("URA75-004",PRIJEVODI!A:A,0),MATCH(NASLOV!$B$2,PRIJEVODI!$B$1:$D$1,0))</f>
        <v>STEUERNUMMER (UID)</v>
      </c>
      <c r="D13" s="237"/>
      <c r="E13" s="237"/>
      <c r="F13" s="237"/>
    </row>
    <row r="15" spans="1:18" x14ac:dyDescent="0.2">
      <c r="G15" s="238" t="str">
        <f>INDEX(PRIJEVODI!B:D,MATCH("URA75-005",PRIJEVODI!A:A,0),MATCH(NASLOV!$B$2,PRIJEVODI!$B$1:$D$1,0))</f>
        <v>EINGANGSRECHNUNGBUCH - Art 75(2)</v>
      </c>
      <c r="H15" s="239"/>
      <c r="I15" s="239"/>
      <c r="J15" s="239"/>
      <c r="K15" s="239"/>
      <c r="L15" s="1"/>
    </row>
    <row r="16" spans="1:18" x14ac:dyDescent="0.2">
      <c r="G16" s="239"/>
      <c r="H16" s="239"/>
      <c r="I16" s="239"/>
      <c r="J16" s="239"/>
      <c r="K16" s="239"/>
      <c r="L16" s="1"/>
      <c r="O16" s="239" t="str">
        <f>INDEX(PRIJEVODI!B:D,MATCH("URA75-006",PRIJEVODI!A:A,0),MATCH(NASLOV!$B$2,PRIJEVODI!$B$1:$D$1,0))</f>
        <v>BETRAG IN KUNA UND LIPA</v>
      </c>
      <c r="P16" s="239"/>
      <c r="Q16" s="239"/>
      <c r="R16" s="239"/>
    </row>
    <row r="19" spans="2:19" ht="12.75" customHeight="1" x14ac:dyDescent="0.2">
      <c r="B19" s="246" t="str">
        <f>INDEX(PRIJEVODI!B:D,MATCH("URA75-007",PRIJEVODI!A:A,0),MATCH(NASLOV!$B$2,PRIJEVODI!$B$1:$D$1,0))</f>
        <v xml:space="preserve">ORDNUNGSNUMMER </v>
      </c>
      <c r="C19" s="249" t="str">
        <f>INDEX(PRIJEVODI!B:D,MATCH("URA75-008",PRIJEVODI!A:A,0),MATCH(NASLOV!$B$2,PRIJEVODI!$B$1:$D$1,0))</f>
        <v>RECHNUNG</v>
      </c>
      <c r="D19" s="250"/>
      <c r="E19" s="293" t="str">
        <f>INDEX(PRIJEVODI!B:D,MATCH("URA75-011",PRIJEVODI!A:A,0),MATCH(NASLOV!$B$2,PRIJEVODI!$B$1:$D$1,0))</f>
        <v>LIEFERANT (ANBIETER VON WAREN UND DIENSTLEISTUNGEN)</v>
      </c>
      <c r="F19" s="294"/>
      <c r="G19" s="294"/>
      <c r="H19" s="294"/>
      <c r="I19" s="294"/>
      <c r="J19" s="294"/>
      <c r="K19" s="294"/>
      <c r="L19" s="294"/>
      <c r="M19" s="291"/>
      <c r="N19" s="249" t="str">
        <f>INDEX(PRIJEVODI!B:D,MATCH("URA75-020",PRIJEVODI!A:A,0),MATCH(NASLOV!$B$2,PRIJEVODI!$B$1:$D$1,0))</f>
        <v>STEUER</v>
      </c>
      <c r="O19" s="279"/>
      <c r="P19" s="279"/>
      <c r="Q19" s="279"/>
      <c r="R19" s="279"/>
      <c r="S19" s="285"/>
    </row>
    <row r="20" spans="2:19" x14ac:dyDescent="0.2">
      <c r="B20" s="247"/>
      <c r="C20" s="251"/>
      <c r="D20" s="252"/>
      <c r="E20" s="277"/>
      <c r="F20" s="295"/>
      <c r="G20" s="295"/>
      <c r="H20" s="295"/>
      <c r="I20" s="295"/>
      <c r="J20" s="295"/>
      <c r="K20" s="295"/>
      <c r="L20" s="295"/>
      <c r="M20" s="296"/>
      <c r="N20" s="281"/>
      <c r="O20" s="282"/>
      <c r="P20" s="282"/>
      <c r="Q20" s="282"/>
      <c r="R20" s="282"/>
      <c r="S20" s="283"/>
    </row>
    <row r="21" spans="2:19" ht="12.75" customHeight="1" x14ac:dyDescent="0.2">
      <c r="B21" s="247"/>
      <c r="C21" s="259" t="str">
        <f>INDEX(PRIJEVODI!B:D,MATCH("URA75-009",PRIJEVODI!A:A,0),MATCH(NASLOV!$B$2,PRIJEVODI!$B$1:$D$1,0))</f>
        <v xml:space="preserve">NUMMER </v>
      </c>
      <c r="D21" s="259" t="str">
        <f>INDEX(PRIJEVODI!B:D,MATCH("URA75-010",PRIJEVODI!A:A,0),MATCH(NASLOV!$B$2,PRIJEVODI!$B$1:$D$1,0))</f>
        <v>DATUM</v>
      </c>
      <c r="E21" s="262" t="str">
        <f>INDEX(PRIJEVODI!B:D,MATCH("URA75-012",PRIJEVODI!A:A,0),MATCH(NASLOV!$B$2,PRIJEVODI!$B$1:$D$1,0))</f>
        <v>TITEL - NAME UND NACHNAME, GESCHÄFTSSITZ / SITZORT</v>
      </c>
      <c r="F21" s="263"/>
      <c r="G21" s="268" t="str">
        <f>INDEX(PRIJEVODI!B:D,MATCH("URA75-013",PRIJEVODI!A:A,0),MATCH(NASLOV!$B$2,PRIJEVODI!$B$1:$D$1,0))</f>
        <v>STEUERNUMMER (UID)</v>
      </c>
      <c r="H21" s="275" t="str">
        <f>INDEX(PRIJEVODI!B:D,MATCH("URA75-014",PRIJEVODI!A:A,0),MATCH(NASLOV!$B$2,PRIJEVODI!$B$1:$D$1,0))</f>
        <v>LIEFERWERT</v>
      </c>
      <c r="I21" s="294"/>
      <c r="J21" s="291"/>
      <c r="K21" s="268" t="str">
        <f>INDEX(PRIJEVODI!B:D,MATCH("URA75-018",PRIJEVODI!A:A,0),MATCH(NASLOV!$B$2,PRIJEVODI!$B$1:$D$1,0))</f>
        <v>GESAMTBETRAG DER RECHNUNG INKLUSIVE MwST.</v>
      </c>
      <c r="L21" s="45"/>
      <c r="M21" s="259" t="str">
        <f>INDEX(PRIJEVODI!B:D,MATCH("URA75-030",PRIJEVODI!A:A,0),MATCH(NASLOV!$B$2,PRIJEVODI!$B$1:$D$1,0))</f>
        <v>TOTAL</v>
      </c>
      <c r="N21" s="284">
        <v>0.05</v>
      </c>
      <c r="O21" s="285"/>
      <c r="P21" s="284">
        <v>0.13</v>
      </c>
      <c r="Q21" s="285"/>
      <c r="R21" s="284">
        <v>0.25</v>
      </c>
      <c r="S21" s="285"/>
    </row>
    <row r="22" spans="2:19" x14ac:dyDescent="0.2">
      <c r="B22" s="247"/>
      <c r="C22" s="260"/>
      <c r="D22" s="260"/>
      <c r="E22" s="264"/>
      <c r="F22" s="265"/>
      <c r="G22" s="269"/>
      <c r="H22" s="276"/>
      <c r="I22" s="297"/>
      <c r="J22" s="298"/>
      <c r="K22" s="269"/>
      <c r="L22" s="46"/>
      <c r="M22" s="260"/>
      <c r="N22" s="281"/>
      <c r="O22" s="283"/>
      <c r="P22" s="281"/>
      <c r="Q22" s="283"/>
      <c r="R22" s="281"/>
      <c r="S22" s="283"/>
    </row>
    <row r="23" spans="2:19" x14ac:dyDescent="0.2">
      <c r="B23" s="247"/>
      <c r="C23" s="260"/>
      <c r="D23" s="260"/>
      <c r="E23" s="264"/>
      <c r="F23" s="265"/>
      <c r="G23" s="269"/>
      <c r="H23" s="276"/>
      <c r="I23" s="297"/>
      <c r="J23" s="298"/>
      <c r="K23" s="269"/>
      <c r="L23" s="46"/>
      <c r="M23" s="260"/>
      <c r="N23" s="268" t="str">
        <f>INDEX(PRIJEVODI!B:D,MATCH("URA75-022",PRIJEVODI!A:A,0),MATCH(NASLOV!$B$2,PRIJEVODI!$B$1:$D$1,0))</f>
        <v>ABZUGSFÄHIG</v>
      </c>
      <c r="O23" s="268" t="str">
        <f>INDEX(PRIJEVODI!B:D,MATCH("URA75-023",PRIJEVODI!A:A,0),MATCH(NASLOV!$B$2,PRIJEVODI!$B$1:$D$1,0))</f>
        <v>NICHT ABZUGSFÄHIG</v>
      </c>
      <c r="P23" s="268" t="str">
        <f>INDEX(PRIJEVODI!B:D,MATCH("URA75-025",PRIJEVODI!A:A,0),MATCH(NASLOV!$B$2,PRIJEVODI!$B$1:$D$1,0))</f>
        <v>ABZUGSFÄHIG</v>
      </c>
      <c r="Q23" s="268" t="str">
        <f>INDEX(PRIJEVODI!B:D,MATCH("URA75-026",PRIJEVODI!A:A,0),MATCH(NASLOV!$B$2,PRIJEVODI!$B$1:$D$1,0))</f>
        <v>NICHT ABZUGSFÄHIG</v>
      </c>
      <c r="R23" s="268" t="str">
        <f>INDEX(PRIJEVODI!B:D,MATCH("URA75-028",PRIJEVODI!A:A,0),MATCH(NASLOV!$B$2,PRIJEVODI!$B$1:$D$1,0))</f>
        <v>ABZUGSFÄHIG</v>
      </c>
      <c r="S23" s="268" t="str">
        <f>INDEX(PRIJEVODI!B:D,MATCH("URA75-029",PRIJEVODI!A:A,0),MATCH(NASLOV!$B$2,PRIJEVODI!$B$1:$D$1,0))</f>
        <v>NICHT ABZUGSFÄHIG</v>
      </c>
    </row>
    <row r="24" spans="2:19" x14ac:dyDescent="0.2">
      <c r="B24" s="247"/>
      <c r="C24" s="260"/>
      <c r="D24" s="260"/>
      <c r="E24" s="264"/>
      <c r="F24" s="265"/>
      <c r="G24" s="269"/>
      <c r="H24" s="276"/>
      <c r="I24" s="297"/>
      <c r="J24" s="298"/>
      <c r="K24" s="269"/>
      <c r="L24" s="48" t="str">
        <f>INDEX(PRIJEVODI!B:D,MATCH("URA75-019",PRIJEVODI!A:A,0),MATCH(NASLOV!$B$2,PRIJEVODI!$B$1:$D$1,0))</f>
        <v>STEUERBEFREIUNGEN / ABZUGSFÄHIG</v>
      </c>
      <c r="M24" s="260"/>
      <c r="N24" s="269"/>
      <c r="O24" s="269"/>
      <c r="P24" s="269"/>
      <c r="Q24" s="269"/>
      <c r="R24" s="269"/>
      <c r="S24" s="269"/>
    </row>
    <row r="25" spans="2:19" x14ac:dyDescent="0.2">
      <c r="B25" s="247"/>
      <c r="C25" s="260"/>
      <c r="D25" s="260"/>
      <c r="E25" s="264"/>
      <c r="F25" s="265"/>
      <c r="G25" s="269"/>
      <c r="H25" s="277"/>
      <c r="I25" s="295"/>
      <c r="J25" s="296"/>
      <c r="K25" s="269"/>
      <c r="L25" s="46"/>
      <c r="M25" s="260"/>
      <c r="N25" s="269"/>
      <c r="O25" s="269"/>
      <c r="P25" s="269"/>
      <c r="Q25" s="269"/>
      <c r="R25" s="269"/>
      <c r="S25" s="269"/>
    </row>
    <row r="26" spans="2:19" x14ac:dyDescent="0.2">
      <c r="B26" s="247"/>
      <c r="C26" s="260"/>
      <c r="D26" s="260"/>
      <c r="E26" s="264"/>
      <c r="F26" s="265"/>
      <c r="G26" s="269"/>
      <c r="H26" s="292">
        <v>0.05</v>
      </c>
      <c r="I26" s="292">
        <v>0.1</v>
      </c>
      <c r="J26" s="292">
        <v>0.25</v>
      </c>
      <c r="K26" s="269"/>
      <c r="L26" s="46"/>
      <c r="M26" s="260"/>
      <c r="N26" s="269"/>
      <c r="O26" s="269"/>
      <c r="P26" s="269"/>
      <c r="Q26" s="269"/>
      <c r="R26" s="269"/>
      <c r="S26" s="269"/>
    </row>
    <row r="27" spans="2:19" x14ac:dyDescent="0.2">
      <c r="B27" s="248"/>
      <c r="C27" s="261"/>
      <c r="D27" s="261"/>
      <c r="E27" s="266"/>
      <c r="F27" s="267"/>
      <c r="G27" s="270"/>
      <c r="H27" s="261"/>
      <c r="I27" s="261"/>
      <c r="J27" s="261"/>
      <c r="K27" s="270"/>
      <c r="L27" s="47"/>
      <c r="M27" s="261"/>
      <c r="N27" s="270"/>
      <c r="O27" s="270"/>
      <c r="P27" s="270"/>
      <c r="Q27" s="270"/>
      <c r="R27" s="270"/>
      <c r="S27" s="270"/>
    </row>
    <row r="28" spans="2:19" x14ac:dyDescent="0.2">
      <c r="B28" s="33">
        <v>1</v>
      </c>
      <c r="C28" s="33">
        <v>2</v>
      </c>
      <c r="D28" s="33">
        <v>3</v>
      </c>
      <c r="E28" s="275">
        <v>4</v>
      </c>
      <c r="F28" s="291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2:19" x14ac:dyDescent="0.2">
      <c r="B29" s="2"/>
      <c r="C29" s="2"/>
      <c r="D29" s="37"/>
      <c r="E29" s="2"/>
      <c r="F29" s="2"/>
      <c r="G29" s="2"/>
      <c r="H29" s="2"/>
      <c r="I29" s="2"/>
      <c r="J29" s="30"/>
      <c r="K29" s="34"/>
      <c r="L29" s="34"/>
      <c r="M29" s="2"/>
      <c r="N29" s="2"/>
      <c r="O29" s="2"/>
      <c r="P29" s="2"/>
      <c r="Q29" s="2"/>
      <c r="R29" s="34"/>
      <c r="S29" s="2"/>
    </row>
    <row r="30" spans="2:19" x14ac:dyDescent="0.2">
      <c r="B30" s="2"/>
      <c r="C30" s="2"/>
      <c r="D30" s="37"/>
      <c r="E30" s="2"/>
      <c r="F30" s="2"/>
      <c r="G30" s="2"/>
      <c r="H30" s="2"/>
      <c r="I30" s="2"/>
      <c r="J30" s="30"/>
      <c r="K30" s="34"/>
      <c r="L30" s="34"/>
      <c r="M30" s="2"/>
      <c r="N30" s="2"/>
      <c r="O30" s="2"/>
      <c r="P30" s="2"/>
      <c r="Q30" s="2"/>
      <c r="R30" s="34"/>
      <c r="S30" s="2"/>
    </row>
    <row r="31" spans="2:19" x14ac:dyDescent="0.2">
      <c r="B31" s="2"/>
      <c r="C31" s="2"/>
      <c r="D31" s="37"/>
      <c r="E31" s="2"/>
      <c r="F31" s="2"/>
      <c r="G31" s="2"/>
      <c r="H31" s="2"/>
      <c r="I31" s="2"/>
      <c r="J31" s="30"/>
      <c r="K31" s="34"/>
      <c r="L31" s="34"/>
      <c r="M31" s="2"/>
      <c r="N31" s="2"/>
      <c r="O31" s="2"/>
      <c r="P31" s="2"/>
      <c r="Q31" s="2"/>
      <c r="R31" s="34"/>
      <c r="S31" s="2"/>
    </row>
    <row r="32" spans="2:19" x14ac:dyDescent="0.2">
      <c r="B32" s="2"/>
      <c r="C32" s="2"/>
      <c r="D32" s="37"/>
      <c r="E32" s="2"/>
      <c r="F32" s="2"/>
      <c r="G32" s="2"/>
      <c r="H32" s="2"/>
      <c r="I32" s="2"/>
      <c r="J32" s="2"/>
      <c r="K32" s="34"/>
      <c r="L32" s="34"/>
      <c r="M32" s="2"/>
      <c r="N32" s="2"/>
      <c r="O32" s="2"/>
      <c r="P32" s="2"/>
      <c r="Q32" s="2"/>
      <c r="R32" s="34"/>
      <c r="S32" s="2"/>
    </row>
    <row r="33" spans="2:19" x14ac:dyDescent="0.2">
      <c r="B33" s="2"/>
      <c r="C33" s="2"/>
      <c r="D33" s="37"/>
      <c r="E33" s="2"/>
      <c r="F33" s="2"/>
      <c r="G33" s="2"/>
      <c r="H33" s="2"/>
      <c r="I33" s="2"/>
      <c r="J33" s="30"/>
      <c r="K33" s="34"/>
      <c r="L33" s="34"/>
      <c r="M33" s="2"/>
      <c r="N33" s="2"/>
      <c r="O33" s="2"/>
      <c r="P33" s="2"/>
      <c r="Q33" s="2"/>
      <c r="R33" s="34"/>
      <c r="S33" s="2"/>
    </row>
    <row r="34" spans="2:19" x14ac:dyDescent="0.2">
      <c r="B34" s="2"/>
      <c r="C34" s="2"/>
      <c r="D34" s="37"/>
      <c r="E34" s="2"/>
      <c r="F34" s="2"/>
      <c r="G34" s="2"/>
      <c r="H34" s="2"/>
      <c r="I34" s="2"/>
      <c r="J34" s="30"/>
      <c r="K34" s="34"/>
      <c r="L34" s="34"/>
      <c r="M34" s="2"/>
      <c r="N34" s="2"/>
      <c r="O34" s="2"/>
      <c r="P34" s="2"/>
      <c r="Q34" s="2"/>
      <c r="R34" s="34"/>
      <c r="S34" s="2"/>
    </row>
    <row r="35" spans="2:19" x14ac:dyDescent="0.2">
      <c r="B35" s="2"/>
      <c r="C35" s="2"/>
      <c r="D35" s="36"/>
      <c r="E35" s="2"/>
      <c r="F35" s="2"/>
      <c r="G35" s="2"/>
      <c r="H35" s="2"/>
      <c r="I35" s="2"/>
      <c r="J35" s="30"/>
      <c r="K35" s="34"/>
      <c r="L35" s="34"/>
      <c r="M35" s="2"/>
      <c r="N35" s="2"/>
      <c r="O35" s="2"/>
      <c r="P35" s="2"/>
      <c r="Q35" s="2"/>
      <c r="R35" s="34">
        <f>+J35*0.25</f>
        <v>0</v>
      </c>
      <c r="S35" s="2"/>
    </row>
    <row r="36" spans="2:19" x14ac:dyDescent="0.2">
      <c r="B36" s="2"/>
      <c r="C36" s="2"/>
      <c r="D36" s="36"/>
      <c r="E36" s="2"/>
      <c r="F36" s="2"/>
      <c r="G36" s="2"/>
      <c r="H36" s="2"/>
      <c r="I36" s="2"/>
      <c r="J36" s="30"/>
      <c r="K36" s="34"/>
      <c r="L36" s="34"/>
      <c r="M36" s="2"/>
      <c r="N36" s="2"/>
      <c r="O36" s="2"/>
      <c r="P36" s="2"/>
      <c r="Q36" s="2"/>
      <c r="R36" s="34">
        <f>+J36*0.25</f>
        <v>0</v>
      </c>
      <c r="S36" s="2"/>
    </row>
    <row r="37" spans="2:19" x14ac:dyDescent="0.2">
      <c r="B37" s="2"/>
      <c r="C37" s="2"/>
      <c r="D37" s="37"/>
      <c r="E37" s="2"/>
      <c r="F37" s="2"/>
      <c r="G37" s="2"/>
      <c r="H37" s="2"/>
      <c r="I37" s="2"/>
      <c r="J37" s="30"/>
      <c r="K37" s="34"/>
      <c r="L37" s="34"/>
      <c r="M37" s="2"/>
      <c r="N37" s="2"/>
      <c r="O37" s="2"/>
      <c r="P37" s="2"/>
      <c r="Q37" s="2"/>
      <c r="R37" s="34">
        <f>+J37*0.25</f>
        <v>0</v>
      </c>
      <c r="S37" s="2"/>
    </row>
    <row r="38" spans="2:19" x14ac:dyDescent="0.2">
      <c r="J38" s="35">
        <f>SUM(J29:J37)</f>
        <v>0</v>
      </c>
      <c r="K38" s="35">
        <f>SUM(K29:K37)</f>
        <v>0</v>
      </c>
      <c r="L38" s="35"/>
      <c r="R38" s="35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39" t="str">
        <f>INDEX(PRIJEVODI!B:D,MATCH("ZP-001",PRIJEVODI!A:A,0),MATCH(NASLOV!$B$2,PRIJEVODI!$B$1:$D$1,0))</f>
        <v>FORMULAR ZM</v>
      </c>
      <c r="N2" s="239"/>
      <c r="O2" s="239"/>
    </row>
    <row r="3" spans="2:15" x14ac:dyDescent="0.2">
      <c r="M3" s="239"/>
      <c r="N3" s="239"/>
      <c r="O3" s="239"/>
    </row>
    <row r="5" spans="2:15" x14ac:dyDescent="0.2">
      <c r="K5" s="324" t="str">
        <f>INDEX(PRIJEVODI!B:D,MATCH("ZP-004",PRIJEVODI!A:A,0),MATCH(NASLOV!$B$2,PRIJEVODI!$B$1:$D$1,0))</f>
        <v>STEUERNUMMER (UID)   (3)</v>
      </c>
      <c r="L5" s="326"/>
      <c r="M5" s="318" t="s">
        <v>1</v>
      </c>
      <c r="N5" s="323" t="str">
        <f>+NASLOV!B9</f>
        <v>HR6411581446</v>
      </c>
      <c r="O5" s="285"/>
    </row>
    <row r="6" spans="2:15" x14ac:dyDescent="0.2">
      <c r="B6" s="262" t="str">
        <f>INDEX(PRIJEVODI!B:D,MATCH("ZP-002",PRIJEVODI!A:A,0),MATCH(NASLOV!$B$2,PRIJEVODI!$B$1:$D$1,0))</f>
        <v>ZUSTÄNDIGES FINANZAMT - STEUERVERWALTUNG (1)</v>
      </c>
      <c r="C6" s="263"/>
      <c r="D6" s="330" t="s">
        <v>570</v>
      </c>
      <c r="E6" s="331"/>
      <c r="K6" s="327"/>
      <c r="L6" s="329"/>
      <c r="M6" s="320"/>
      <c r="N6" s="281"/>
      <c r="O6" s="283"/>
    </row>
    <row r="7" spans="2:15" x14ac:dyDescent="0.2">
      <c r="B7" s="264"/>
      <c r="C7" s="265"/>
      <c r="D7" s="332"/>
      <c r="E7" s="333"/>
      <c r="K7" s="262" t="str">
        <f>INDEX(PRIJEVODI!B:D,MATCH("ZP-006",PRIJEVODI!A:A,0),MATCH(NASLOV!$B$2,PRIJEVODI!$B$1:$D$1,0))</f>
        <v>STEUERPFLICHTIGER  (Titel / Name und Nachname)      (4)</v>
      </c>
      <c r="L7" s="263"/>
      <c r="M7" s="275" t="str">
        <f>NASLOV!B5</f>
        <v>Markus Renz</v>
      </c>
      <c r="N7" s="294"/>
      <c r="O7" s="291"/>
    </row>
    <row r="8" spans="2:15" x14ac:dyDescent="0.2">
      <c r="B8" s="266"/>
      <c r="C8" s="267"/>
      <c r="D8" s="334"/>
      <c r="E8" s="335"/>
      <c r="K8" s="264"/>
      <c r="L8" s="265"/>
      <c r="M8" s="276"/>
      <c r="N8" s="297"/>
      <c r="O8" s="298"/>
    </row>
    <row r="9" spans="2:15" x14ac:dyDescent="0.2">
      <c r="B9" s="275" t="str">
        <f>INDEX(PRIJEVODI!B:D,MATCH("ZP-003",PRIJEVODI!A:A,0),MATCH(NASLOV!$B$2,PRIJEVODI!$B$1:$D$1,0))</f>
        <v>REGIONALBÜRO  (2)</v>
      </c>
      <c r="C9" s="291"/>
      <c r="D9" s="330" t="s">
        <v>571</v>
      </c>
      <c r="E9" s="331"/>
      <c r="K9" s="266"/>
      <c r="L9" s="267"/>
      <c r="M9" s="277"/>
      <c r="N9" s="295"/>
      <c r="O9" s="296"/>
    </row>
    <row r="10" spans="2:15" x14ac:dyDescent="0.2">
      <c r="B10" s="276"/>
      <c r="C10" s="298"/>
      <c r="D10" s="332"/>
      <c r="E10" s="333"/>
      <c r="K10" s="324" t="str">
        <f>INDEX(PRIJEVODI!B:D,MATCH("ZP-007",PRIJEVODI!A:A,0),MATCH(NASLOV!$B$2,PRIJEVODI!$B$1:$D$1,0))</f>
        <v>Adresse (Ort, Strasse und Hausnummer)    (5)</v>
      </c>
      <c r="L10" s="326"/>
      <c r="M10" s="324" t="str">
        <f>NASLOV!B7</f>
        <v>Am Sonnblick 6, Lichtenau</v>
      </c>
      <c r="N10" s="325"/>
      <c r="O10" s="326"/>
    </row>
    <row r="11" spans="2:15" x14ac:dyDescent="0.2">
      <c r="B11" s="277"/>
      <c r="C11" s="296"/>
      <c r="D11" s="334"/>
      <c r="E11" s="335"/>
      <c r="K11" s="327"/>
      <c r="L11" s="329"/>
      <c r="M11" s="327"/>
      <c r="N11" s="328"/>
      <c r="O11" s="329"/>
    </row>
    <row r="12" spans="2:15" x14ac:dyDescent="0.2">
      <c r="K12" s="262" t="str">
        <f>INDEX(PRIJEVODI!B:D,MATCH("ZP-008",PRIJEVODI!A:A,0),MATCH(NASLOV!$B$2,PRIJEVODI!$B$1:$D$1,0))</f>
        <v>Steuernummer UID des Steuervertreters   (6)</v>
      </c>
      <c r="L12" s="263"/>
      <c r="M12" s="318" t="s">
        <v>1</v>
      </c>
      <c r="N12" s="323"/>
      <c r="O12" s="285"/>
    </row>
    <row r="13" spans="2:15" x14ac:dyDescent="0.2">
      <c r="K13" s="266"/>
      <c r="L13" s="267"/>
      <c r="M13" s="320"/>
      <c r="N13" s="281"/>
      <c r="O13" s="283"/>
    </row>
    <row r="19" spans="2:15" x14ac:dyDescent="0.2">
      <c r="E19" s="6"/>
      <c r="F19" s="6"/>
      <c r="G19" s="238" t="str">
        <f>INDEX(PRIJEVODI!B:D,MATCH("ZP-010",PRIJEVODI!A:A,0),MATCH(NASLOV!$B$2,PRIJEVODI!$B$1:$D$1,0))</f>
        <v>Zusammenfassende Meldung IG Lieferung</v>
      </c>
      <c r="H19" s="238"/>
      <c r="I19" s="238"/>
      <c r="J19" s="238"/>
      <c r="K19" s="6"/>
      <c r="L19" s="6"/>
      <c r="M19" s="6"/>
    </row>
    <row r="20" spans="2:15" x14ac:dyDescent="0.2">
      <c r="E20" s="6"/>
      <c r="F20" s="6"/>
      <c r="G20" s="238"/>
      <c r="H20" s="238"/>
      <c r="I20" s="238"/>
      <c r="J20" s="238"/>
      <c r="K20" s="6"/>
      <c r="L20" s="6"/>
      <c r="M20" s="6"/>
    </row>
    <row r="21" spans="2:15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2:15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2:15" x14ac:dyDescent="0.2">
      <c r="E23" s="336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36"/>
      <c r="G23" s="336"/>
      <c r="H23" s="336"/>
      <c r="I23" s="336"/>
      <c r="J23" s="336"/>
      <c r="K23" s="336"/>
      <c r="L23" s="336"/>
      <c r="M23" s="336"/>
    </row>
    <row r="24" spans="2:15" x14ac:dyDescent="0.2">
      <c r="E24" s="336"/>
      <c r="F24" s="336"/>
      <c r="G24" s="336"/>
      <c r="H24" s="336"/>
      <c r="I24" s="336"/>
      <c r="J24" s="336"/>
      <c r="K24" s="336"/>
      <c r="L24" s="336"/>
      <c r="M24" s="336"/>
    </row>
    <row r="25" spans="2:15" x14ac:dyDescent="0.2">
      <c r="E25" s="336"/>
      <c r="F25" s="336"/>
      <c r="G25" s="336"/>
      <c r="H25" s="336"/>
      <c r="I25" s="336"/>
      <c r="J25" s="336"/>
      <c r="K25" s="336"/>
      <c r="L25" s="336"/>
      <c r="M25" s="336"/>
    </row>
    <row r="28" spans="2:15" x14ac:dyDescent="0.2">
      <c r="B28" s="268" t="str">
        <f>INDEX(PRIJEVODI!B:D,MATCH("ZP-012",PRIJEVODI!A:A,0),MATCH(NASLOV!$B$2,PRIJEVODI!$B$1:$D$1,0))</f>
        <v>Ordnungsnummer (8)</v>
      </c>
      <c r="C28" s="268" t="str">
        <f>INDEX(PRIJEVODI!B:D,MATCH("ZP-013",PRIJEVODI!A:A,0),MATCH(NASLOV!$B$2,PRIJEVODI!$B$1:$D$1,0))</f>
        <v>Landescode (9)</v>
      </c>
      <c r="D28" s="262" t="str">
        <f>INDEX(PRIJEVODI!B:D,MATCH("ZP-014",PRIJEVODI!A:A,0),MATCH(NASLOV!$B$2,PRIJEVODI!$B$1:$D$1,0))</f>
        <v>Steuernummer UID des Empfängers (ohne Landesvorwahl)   (10)</v>
      </c>
      <c r="E28" s="263"/>
      <c r="F28" s="262" t="str">
        <f>INDEX(PRIJEVODI!B:D,MATCH("ZP-015",PRIJEVODI!A:A,0),MATCH(NASLOV!$B$2,PRIJEVODI!$B$1:$D$1,0))</f>
        <v>Wert der Güterlieferung (in Kuna und Lipa)    (11)</v>
      </c>
      <c r="G28" s="263"/>
      <c r="H28" s="262" t="str">
        <f>INDEX(PRIJEVODI!B:D,MATCH("ZP-016",PRIJEVODI!A:A,0),MATCH(NASLOV!$B$2,PRIJEVODI!$B$1:$D$1,0))</f>
        <v>Wert der Güterlieferung unter dem Verfahren 42 und 63 (in Kuna und Lipa)   (12)</v>
      </c>
      <c r="I28" s="263"/>
      <c r="J28" s="262" t="str">
        <f>INDEX(PRIJEVODI!B:D,MATCH("ZP-017",PRIJEVODI!A:A,0),MATCH(NASLOV!$B$2,PRIJEVODI!$B$1:$D$1,0))</f>
        <v>Wert der Güterlieferung im Rahmen des Dreiecksgeschäft  (in Kuna und Lipa)   (13)</v>
      </c>
      <c r="K28" s="337"/>
      <c r="L28" s="263"/>
      <c r="M28" s="262" t="str">
        <f>INDEX(PRIJEVODI!B:D,MATCH("ZP-018",PRIJEVODI!A:A,0),MATCH(NASLOV!$B$2,PRIJEVODI!$B$1:$D$1,0))</f>
        <v>Wert der erbrachten Dienstleistungen (in Kuna und Lipa)  (14)</v>
      </c>
      <c r="N28" s="337"/>
      <c r="O28" s="263"/>
    </row>
    <row r="29" spans="2:15" x14ac:dyDescent="0.2">
      <c r="B29" s="269"/>
      <c r="C29" s="269"/>
      <c r="D29" s="264"/>
      <c r="E29" s="265"/>
      <c r="F29" s="264"/>
      <c r="G29" s="265"/>
      <c r="H29" s="264"/>
      <c r="I29" s="265"/>
      <c r="J29" s="264"/>
      <c r="K29" s="338"/>
      <c r="L29" s="265"/>
      <c r="M29" s="264"/>
      <c r="N29" s="338"/>
      <c r="O29" s="265"/>
    </row>
    <row r="30" spans="2:15" x14ac:dyDescent="0.2">
      <c r="B30" s="269"/>
      <c r="C30" s="269"/>
      <c r="D30" s="264"/>
      <c r="E30" s="265"/>
      <c r="F30" s="264"/>
      <c r="G30" s="265"/>
      <c r="H30" s="264"/>
      <c r="I30" s="265"/>
      <c r="J30" s="264"/>
      <c r="K30" s="338"/>
      <c r="L30" s="265"/>
      <c r="M30" s="264"/>
      <c r="N30" s="338"/>
      <c r="O30" s="265"/>
    </row>
    <row r="31" spans="2:15" x14ac:dyDescent="0.2">
      <c r="B31" s="269"/>
      <c r="C31" s="269"/>
      <c r="D31" s="264"/>
      <c r="E31" s="265"/>
      <c r="F31" s="264"/>
      <c r="G31" s="265"/>
      <c r="H31" s="264"/>
      <c r="I31" s="265"/>
      <c r="J31" s="264"/>
      <c r="K31" s="338"/>
      <c r="L31" s="265"/>
      <c r="M31" s="264"/>
      <c r="N31" s="338"/>
      <c r="O31" s="265"/>
    </row>
    <row r="32" spans="2:15" x14ac:dyDescent="0.2">
      <c r="B32" s="269"/>
      <c r="C32" s="269"/>
      <c r="D32" s="264"/>
      <c r="E32" s="265"/>
      <c r="F32" s="264"/>
      <c r="G32" s="265"/>
      <c r="H32" s="264"/>
      <c r="I32" s="265"/>
      <c r="J32" s="264"/>
      <c r="K32" s="338"/>
      <c r="L32" s="265"/>
      <c r="M32" s="264"/>
      <c r="N32" s="338"/>
      <c r="O32" s="265"/>
    </row>
    <row r="33" spans="2:15" x14ac:dyDescent="0.2">
      <c r="B33" s="269"/>
      <c r="C33" s="269"/>
      <c r="D33" s="264"/>
      <c r="E33" s="265"/>
      <c r="F33" s="264"/>
      <c r="G33" s="265"/>
      <c r="H33" s="264"/>
      <c r="I33" s="265"/>
      <c r="J33" s="264"/>
      <c r="K33" s="338"/>
      <c r="L33" s="265"/>
      <c r="M33" s="264"/>
      <c r="N33" s="338"/>
      <c r="O33" s="265"/>
    </row>
    <row r="34" spans="2:15" x14ac:dyDescent="0.2">
      <c r="B34" s="269"/>
      <c r="C34" s="269"/>
      <c r="D34" s="264"/>
      <c r="E34" s="265"/>
      <c r="F34" s="264"/>
      <c r="G34" s="265"/>
      <c r="H34" s="264"/>
      <c r="I34" s="265"/>
      <c r="J34" s="264"/>
      <c r="K34" s="338"/>
      <c r="L34" s="265"/>
      <c r="M34" s="264"/>
      <c r="N34" s="338"/>
      <c r="O34" s="265"/>
    </row>
    <row r="35" spans="2:15" x14ac:dyDescent="0.2">
      <c r="B35" s="269"/>
      <c r="C35" s="269"/>
      <c r="D35" s="264"/>
      <c r="E35" s="265"/>
      <c r="F35" s="264"/>
      <c r="G35" s="265"/>
      <c r="H35" s="264"/>
      <c r="I35" s="265"/>
      <c r="J35" s="264"/>
      <c r="K35" s="338"/>
      <c r="L35" s="265"/>
      <c r="M35" s="264"/>
      <c r="N35" s="338"/>
      <c r="O35" s="265"/>
    </row>
    <row r="36" spans="2:15" x14ac:dyDescent="0.2">
      <c r="B36" s="269"/>
      <c r="C36" s="269"/>
      <c r="D36" s="264"/>
      <c r="E36" s="265"/>
      <c r="F36" s="264"/>
      <c r="G36" s="265"/>
      <c r="H36" s="264"/>
      <c r="I36" s="265"/>
      <c r="J36" s="264"/>
      <c r="K36" s="338"/>
      <c r="L36" s="265"/>
      <c r="M36" s="264"/>
      <c r="N36" s="338"/>
      <c r="O36" s="265"/>
    </row>
    <row r="37" spans="2:15" x14ac:dyDescent="0.2">
      <c r="B37" s="270"/>
      <c r="C37" s="270"/>
      <c r="D37" s="266"/>
      <c r="E37" s="267"/>
      <c r="F37" s="266"/>
      <c r="G37" s="267"/>
      <c r="H37" s="266"/>
      <c r="I37" s="267"/>
      <c r="J37" s="266"/>
      <c r="K37" s="339"/>
      <c r="L37" s="267"/>
      <c r="M37" s="266"/>
      <c r="N37" s="339"/>
      <c r="O37" s="267"/>
    </row>
    <row r="38" spans="2:15" x14ac:dyDescent="0.2">
      <c r="B38" s="2"/>
      <c r="C38" s="2"/>
      <c r="D38" s="340"/>
      <c r="E38" s="341"/>
      <c r="F38" s="343"/>
      <c r="G38" s="344"/>
      <c r="H38" s="340"/>
      <c r="I38" s="342"/>
      <c r="J38" s="340"/>
      <c r="K38" s="342"/>
      <c r="L38" s="341"/>
      <c r="M38" s="340"/>
      <c r="N38" s="342"/>
      <c r="O38" s="341"/>
    </row>
    <row r="39" spans="2:15" x14ac:dyDescent="0.2">
      <c r="B39" s="2"/>
      <c r="C39" s="2"/>
      <c r="D39" s="340"/>
      <c r="E39" s="341"/>
      <c r="F39" s="343"/>
      <c r="G39" s="344"/>
      <c r="H39" s="340"/>
      <c r="I39" s="342"/>
      <c r="J39" s="340"/>
      <c r="K39" s="342"/>
      <c r="L39" s="341"/>
      <c r="M39" s="340"/>
      <c r="N39" s="342"/>
      <c r="O39" s="341"/>
    </row>
    <row r="40" spans="2:15" x14ac:dyDescent="0.2">
      <c r="B40" s="2"/>
      <c r="C40" s="2"/>
      <c r="D40" s="340"/>
      <c r="E40" s="341"/>
      <c r="F40" s="343"/>
      <c r="G40" s="344"/>
      <c r="H40" s="340"/>
      <c r="I40" s="342"/>
      <c r="J40" s="340"/>
      <c r="K40" s="342"/>
      <c r="L40" s="341"/>
      <c r="M40" s="340"/>
      <c r="N40" s="342"/>
      <c r="O40" s="341"/>
    </row>
    <row r="41" spans="2:15" x14ac:dyDescent="0.2">
      <c r="B41" s="2"/>
      <c r="C41" s="2"/>
      <c r="D41" s="340"/>
      <c r="E41" s="341"/>
      <c r="F41" s="343"/>
      <c r="G41" s="344"/>
      <c r="H41" s="340"/>
      <c r="I41" s="342"/>
      <c r="J41" s="340"/>
      <c r="K41" s="342"/>
      <c r="L41" s="341"/>
      <c r="M41" s="340"/>
      <c r="N41" s="342"/>
      <c r="O41" s="341"/>
    </row>
    <row r="42" spans="2:15" x14ac:dyDescent="0.2">
      <c r="B42" s="2"/>
      <c r="C42" s="2"/>
      <c r="D42" s="340"/>
      <c r="E42" s="341"/>
      <c r="F42" s="343"/>
      <c r="G42" s="344"/>
      <c r="H42" s="340"/>
      <c r="I42" s="342"/>
      <c r="J42" s="340"/>
      <c r="K42" s="342"/>
      <c r="L42" s="341"/>
      <c r="M42" s="340"/>
      <c r="N42" s="342"/>
      <c r="O42" s="341"/>
    </row>
    <row r="43" spans="2:15" x14ac:dyDescent="0.2">
      <c r="B43" s="2"/>
      <c r="C43" s="2"/>
      <c r="D43" s="340"/>
      <c r="E43" s="341"/>
      <c r="F43" s="343"/>
      <c r="G43" s="344"/>
      <c r="H43" s="340"/>
      <c r="I43" s="342"/>
      <c r="J43" s="340"/>
      <c r="K43" s="342"/>
      <c r="L43" s="341"/>
      <c r="M43" s="340"/>
      <c r="N43" s="342"/>
      <c r="O43" s="341"/>
    </row>
    <row r="44" spans="2:15" x14ac:dyDescent="0.2">
      <c r="B44" s="2"/>
      <c r="C44" s="2"/>
      <c r="D44" s="340"/>
      <c r="E44" s="341"/>
      <c r="F44" s="343"/>
      <c r="G44" s="344"/>
      <c r="H44" s="340"/>
      <c r="I44" s="342"/>
      <c r="J44" s="340"/>
      <c r="K44" s="342"/>
      <c r="L44" s="341"/>
      <c r="M44" s="340"/>
      <c r="N44" s="342"/>
      <c r="O44" s="341"/>
    </row>
    <row r="45" spans="2:15" x14ac:dyDescent="0.2">
      <c r="B45" s="2"/>
      <c r="C45" s="2"/>
      <c r="D45" s="340"/>
      <c r="E45" s="341"/>
      <c r="F45" s="340"/>
      <c r="G45" s="341"/>
      <c r="H45" s="340"/>
      <c r="I45" s="342"/>
      <c r="J45" s="340"/>
      <c r="K45" s="342"/>
      <c r="L45" s="341"/>
      <c r="M45" s="340"/>
      <c r="N45" s="342"/>
      <c r="O45" s="341"/>
    </row>
    <row r="46" spans="2:15" x14ac:dyDescent="0.2">
      <c r="B46" s="2"/>
      <c r="C46" s="2"/>
      <c r="D46" s="340"/>
      <c r="E46" s="341"/>
      <c r="F46" s="340"/>
      <c r="G46" s="341"/>
      <c r="H46" s="340"/>
      <c r="I46" s="342"/>
      <c r="J46" s="340"/>
      <c r="K46" s="342"/>
      <c r="L46" s="341"/>
      <c r="M46" s="340"/>
      <c r="N46" s="342"/>
      <c r="O46" s="341"/>
    </row>
    <row r="47" spans="2:15" x14ac:dyDescent="0.2">
      <c r="B47" s="2"/>
      <c r="C47" s="2"/>
      <c r="D47" s="340"/>
      <c r="E47" s="341"/>
      <c r="F47" s="340"/>
      <c r="G47" s="341"/>
      <c r="H47" s="340"/>
      <c r="I47" s="342"/>
      <c r="J47" s="340"/>
      <c r="K47" s="342"/>
      <c r="L47" s="341"/>
      <c r="M47" s="340"/>
      <c r="N47" s="342"/>
      <c r="O47" s="341"/>
    </row>
    <row r="48" spans="2:15" x14ac:dyDescent="0.2">
      <c r="B48" s="2"/>
      <c r="C48" s="2"/>
      <c r="D48" s="340"/>
      <c r="E48" s="341"/>
      <c r="F48" s="340"/>
      <c r="G48" s="341"/>
      <c r="H48" s="340"/>
      <c r="I48" s="342"/>
      <c r="J48" s="340"/>
      <c r="K48" s="342"/>
      <c r="L48" s="341"/>
      <c r="M48" s="340"/>
      <c r="N48" s="342"/>
      <c r="O48" s="341"/>
    </row>
    <row r="49" spans="2:15" x14ac:dyDescent="0.2">
      <c r="B49" s="2"/>
      <c r="C49" s="2"/>
      <c r="D49" s="340"/>
      <c r="E49" s="341"/>
      <c r="F49" s="340"/>
      <c r="G49" s="341"/>
      <c r="H49" s="340"/>
      <c r="I49" s="342"/>
      <c r="J49" s="340"/>
      <c r="K49" s="342"/>
      <c r="L49" s="341"/>
      <c r="M49" s="340"/>
      <c r="N49" s="342"/>
      <c r="O49" s="341"/>
    </row>
    <row r="50" spans="2:15" x14ac:dyDescent="0.2">
      <c r="B50" s="2"/>
      <c r="C50" s="2"/>
      <c r="D50" s="340"/>
      <c r="E50" s="341"/>
      <c r="F50" s="345"/>
      <c r="G50" s="346"/>
      <c r="H50" s="340"/>
      <c r="I50" s="342"/>
      <c r="J50" s="340"/>
      <c r="K50" s="342"/>
      <c r="L50" s="341"/>
      <c r="M50" s="340"/>
      <c r="N50" s="342"/>
      <c r="O50" s="341"/>
    </row>
    <row r="51" spans="2:15" x14ac:dyDescent="0.2">
      <c r="B51" s="2"/>
      <c r="C51" s="2"/>
      <c r="D51" s="340"/>
      <c r="E51" s="341"/>
      <c r="F51" s="340"/>
      <c r="G51" s="341"/>
      <c r="H51" s="340"/>
      <c r="I51" s="342"/>
      <c r="J51" s="340"/>
      <c r="K51" s="342"/>
      <c r="L51" s="341"/>
      <c r="M51" s="340"/>
      <c r="N51" s="342"/>
      <c r="O51" s="341"/>
    </row>
    <row r="52" spans="2:15" x14ac:dyDescent="0.2">
      <c r="B52" s="2"/>
      <c r="C52" s="2"/>
      <c r="D52" s="340"/>
      <c r="E52" s="341"/>
      <c r="F52" s="340"/>
      <c r="G52" s="341"/>
      <c r="H52" s="340"/>
      <c r="I52" s="342"/>
      <c r="J52" s="340"/>
      <c r="K52" s="342"/>
      <c r="L52" s="341"/>
      <c r="M52" s="340"/>
      <c r="N52" s="342"/>
      <c r="O52" s="341"/>
    </row>
    <row r="53" spans="2:15" x14ac:dyDescent="0.2">
      <c r="B53" s="2"/>
      <c r="C53" s="2"/>
      <c r="D53" s="340"/>
      <c r="E53" s="341"/>
      <c r="F53" s="340"/>
      <c r="G53" s="341"/>
      <c r="H53" s="340"/>
      <c r="I53" s="342"/>
      <c r="J53" s="340"/>
      <c r="K53" s="342"/>
      <c r="L53" s="341"/>
      <c r="M53" s="340"/>
      <c r="N53" s="342"/>
      <c r="O53" s="341"/>
    </row>
    <row r="54" spans="2:15" x14ac:dyDescent="0.2">
      <c r="B54" s="2"/>
      <c r="C54" s="2"/>
      <c r="D54" s="340"/>
      <c r="E54" s="341"/>
      <c r="F54" s="340"/>
      <c r="G54" s="341"/>
      <c r="H54" s="340"/>
      <c r="I54" s="342"/>
      <c r="J54" s="340"/>
      <c r="K54" s="342"/>
      <c r="L54" s="341"/>
      <c r="M54" s="340"/>
      <c r="N54" s="342"/>
      <c r="O54" s="341"/>
    </row>
    <row r="55" spans="2:15" x14ac:dyDescent="0.2">
      <c r="B55" s="2"/>
      <c r="C55" s="2"/>
      <c r="D55" s="340"/>
      <c r="E55" s="341"/>
      <c r="F55" s="340"/>
      <c r="G55" s="341"/>
      <c r="H55" s="340"/>
      <c r="I55" s="342"/>
      <c r="J55" s="340"/>
      <c r="K55" s="342"/>
      <c r="L55" s="341"/>
      <c r="M55" s="340"/>
      <c r="N55" s="342"/>
      <c r="O55" s="341"/>
    </row>
    <row r="56" spans="2:15" x14ac:dyDescent="0.2">
      <c r="B56" s="2"/>
      <c r="C56" s="2"/>
      <c r="D56" s="340"/>
      <c r="E56" s="341"/>
      <c r="F56" s="340"/>
      <c r="G56" s="341"/>
      <c r="H56" s="340"/>
      <c r="I56" s="342"/>
      <c r="J56" s="340"/>
      <c r="K56" s="342"/>
      <c r="L56" s="341"/>
      <c r="M56" s="340"/>
      <c r="N56" s="342"/>
      <c r="O56" s="341"/>
    </row>
    <row r="57" spans="2:15" x14ac:dyDescent="0.2">
      <c r="B57" s="2"/>
      <c r="C57" s="2"/>
      <c r="D57" s="340"/>
      <c r="E57" s="341"/>
      <c r="F57" s="340"/>
      <c r="G57" s="341"/>
      <c r="H57" s="340"/>
      <c r="I57" s="342"/>
      <c r="J57" s="340"/>
      <c r="K57" s="342"/>
      <c r="L57" s="341"/>
      <c r="M57" s="340"/>
      <c r="N57" s="342"/>
      <c r="O57" s="341"/>
    </row>
    <row r="58" spans="2:15" x14ac:dyDescent="0.2">
      <c r="B58" s="2"/>
      <c r="C58" s="2"/>
      <c r="D58" s="340"/>
      <c r="E58" s="341"/>
      <c r="F58" s="340"/>
      <c r="G58" s="341"/>
      <c r="H58" s="340"/>
      <c r="I58" s="342"/>
      <c r="J58" s="340"/>
      <c r="K58" s="342"/>
      <c r="L58" s="341"/>
      <c r="M58" s="340"/>
      <c r="N58" s="342"/>
      <c r="O58" s="341"/>
    </row>
    <row r="59" spans="2:15" x14ac:dyDescent="0.2">
      <c r="B59" s="2"/>
      <c r="C59" s="2"/>
      <c r="D59" s="340"/>
      <c r="E59" s="341"/>
      <c r="F59" s="340"/>
      <c r="G59" s="341"/>
      <c r="H59" s="340"/>
      <c r="I59" s="342"/>
      <c r="J59" s="340"/>
      <c r="K59" s="342"/>
      <c r="L59" s="341"/>
      <c r="M59" s="340"/>
      <c r="N59" s="342"/>
      <c r="O59" s="341"/>
    </row>
    <row r="60" spans="2:15" x14ac:dyDescent="0.2">
      <c r="B60" s="2"/>
      <c r="C60" s="2"/>
      <c r="D60" s="340"/>
      <c r="E60" s="341"/>
      <c r="F60" s="340"/>
      <c r="G60" s="341"/>
      <c r="H60" s="340"/>
      <c r="I60" s="342"/>
      <c r="J60" s="340"/>
      <c r="K60" s="342"/>
      <c r="L60" s="341"/>
      <c r="M60" s="340"/>
      <c r="N60" s="342"/>
      <c r="O60" s="341"/>
    </row>
    <row r="61" spans="2:15" x14ac:dyDescent="0.2">
      <c r="B61" s="2"/>
      <c r="C61" s="2"/>
      <c r="D61" s="340"/>
      <c r="E61" s="341"/>
      <c r="F61" s="340"/>
      <c r="G61" s="341"/>
      <c r="H61" s="340"/>
      <c r="I61" s="342"/>
      <c r="J61" s="340"/>
      <c r="K61" s="342"/>
      <c r="L61" s="341"/>
      <c r="M61" s="340"/>
      <c r="N61" s="342"/>
      <c r="O61" s="341"/>
    </row>
    <row r="62" spans="2:15" x14ac:dyDescent="0.2">
      <c r="B62" s="2"/>
      <c r="C62" s="2"/>
      <c r="D62" s="340"/>
      <c r="E62" s="341"/>
      <c r="F62" s="340"/>
      <c r="G62" s="341"/>
      <c r="H62" s="340"/>
      <c r="I62" s="342"/>
      <c r="J62" s="340"/>
      <c r="K62" s="342"/>
      <c r="L62" s="341"/>
      <c r="M62" s="340"/>
      <c r="N62" s="342"/>
      <c r="O62" s="341"/>
    </row>
    <row r="63" spans="2:15" x14ac:dyDescent="0.2">
      <c r="B63" s="323" t="str">
        <f>INDEX(PRIJEVODI!B:D,MATCH("ZP-019",PRIJEVODI!A:A,0),MATCH(NASLOV!$B$2,PRIJEVODI!$B$1:$D$1,0))</f>
        <v>Gesamtwert</v>
      </c>
      <c r="C63" s="279"/>
      <c r="D63" s="279"/>
      <c r="E63" s="285"/>
      <c r="F63" s="323" t="s">
        <v>2</v>
      </c>
      <c r="G63" s="285"/>
      <c r="H63" s="323" t="s">
        <v>3</v>
      </c>
      <c r="I63" s="285"/>
      <c r="J63" s="323" t="s">
        <v>4</v>
      </c>
      <c r="K63" s="279"/>
      <c r="L63" s="285"/>
      <c r="M63" s="323" t="s">
        <v>5</v>
      </c>
      <c r="N63" s="279"/>
      <c r="O63" s="285"/>
    </row>
    <row r="64" spans="2:15" ht="25.5" customHeight="1" x14ac:dyDescent="0.2">
      <c r="B64" s="281"/>
      <c r="C64" s="282"/>
      <c r="D64" s="282"/>
      <c r="E64" s="283"/>
      <c r="F64" s="281"/>
      <c r="G64" s="283"/>
      <c r="H64" s="281"/>
      <c r="I64" s="283"/>
      <c r="J64" s="281"/>
      <c r="K64" s="282"/>
      <c r="L64" s="283"/>
      <c r="M64" s="281"/>
      <c r="N64" s="282"/>
      <c r="O64" s="283"/>
    </row>
    <row r="75" spans="2:15" x14ac:dyDescent="0.2">
      <c r="B75" s="275" t="str">
        <f>INDEX(PRIJEVODI!B:D,MATCH("ZP-020",PRIJEVODI!A:A,0),MATCH(NASLOV!$B$2,PRIJEVODI!$B$1:$D$1,0))</f>
        <v>Hiermit bestätige ich die Richtigkeit der genannten Daten</v>
      </c>
      <c r="C75" s="294"/>
      <c r="D75" s="294"/>
      <c r="E75" s="294"/>
      <c r="F75" s="294"/>
      <c r="G75" s="294"/>
      <c r="H75" s="291"/>
      <c r="K75" s="262" t="str">
        <f>INDEX(PRIJEVODI!B:D,MATCH("ZP-022",PRIJEVODI!A:A,0),MATCH(NASLOV!$B$2,PRIJEVODI!$B$1:$D$1,0))</f>
        <v>Unterschrift    (20)</v>
      </c>
      <c r="L75" s="263"/>
      <c r="M75" s="275"/>
      <c r="N75" s="294"/>
      <c r="O75" s="291"/>
    </row>
    <row r="76" spans="2:15" x14ac:dyDescent="0.2">
      <c r="B76" s="277"/>
      <c r="C76" s="295"/>
      <c r="D76" s="295"/>
      <c r="E76" s="295"/>
      <c r="F76" s="295"/>
      <c r="G76" s="295"/>
      <c r="H76" s="296"/>
      <c r="K76" s="266"/>
      <c r="L76" s="267"/>
      <c r="M76" s="277"/>
      <c r="N76" s="295"/>
      <c r="O76" s="296"/>
    </row>
    <row r="77" spans="2:15" x14ac:dyDescent="0.2">
      <c r="B77" s="262" t="str">
        <f>INDEX(PRIJEVODI!B:D,MATCH("ZP-021",PRIJEVODI!A:A,0),MATCH(NASLOV!$B$2,PRIJEVODI!$B$1:$D$1,0))</f>
        <v>Berechnung verfasst von (Name und Nachname)  (19)</v>
      </c>
      <c r="C77" s="337"/>
      <c r="D77" s="263"/>
      <c r="E77" s="275" t="s">
        <v>568</v>
      </c>
      <c r="F77" s="294"/>
      <c r="G77" s="294"/>
      <c r="H77" s="291"/>
      <c r="K77" s="262" t="str">
        <f>INDEX(PRIJEVODI!B:D,MATCH("ZP-023",PRIJEVODI!A:A,0),MATCH(NASLOV!$B$2,PRIJEVODI!$B$1:$D$1,0))</f>
        <v>Telefonnummer / Fax /E-Mail  (21)</v>
      </c>
      <c r="L77" s="263"/>
      <c r="M77" s="347" t="s">
        <v>569</v>
      </c>
      <c r="N77" s="337"/>
      <c r="O77" s="263"/>
    </row>
    <row r="78" spans="2:15" ht="27" customHeight="1" x14ac:dyDescent="0.2">
      <c r="B78" s="266"/>
      <c r="C78" s="339"/>
      <c r="D78" s="267"/>
      <c r="E78" s="277"/>
      <c r="F78" s="295"/>
      <c r="G78" s="295"/>
      <c r="H78" s="296"/>
      <c r="K78" s="266"/>
      <c r="L78" s="267"/>
      <c r="M78" s="266"/>
      <c r="N78" s="339"/>
      <c r="O78" s="267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'IC Aq'!Druckbereich</vt:lpstr>
      <vt:lpstr>'I-RA'!Druckbereich</vt:lpstr>
      <vt:lpstr>PDV!Druckbereich</vt:lpstr>
      <vt:lpstr>'U-RA'!Druckbereich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2024-06-03T17:30:54Z</cp:lastPrinted>
  <dcterms:created xsi:type="dcterms:W3CDTF">2013-07-05T09:42:56Z</dcterms:created>
  <dcterms:modified xsi:type="dcterms:W3CDTF">2025-07-05T09:11:53Z</dcterms:modified>
</cp:coreProperties>
</file>