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2910" yWindow="795" windowWidth="19425" windowHeight="10425" firstSheet="2" activeTab="4"/>
  </bookViews>
  <sheets>
    <sheet name="PRIJEVODI" sheetId="6" r:id="rId1"/>
    <sheet name="NASLOV" sheetId="7" r:id="rId2"/>
    <sheet name="I-RA" sheetId="1" r:id="rId3"/>
    <sheet name="IC Aq" sheetId="8" r:id="rId4"/>
    <sheet name="U-RA" sheetId="2" r:id="rId5"/>
    <sheet name="INOPPO" sheetId="10" r:id="rId6"/>
    <sheet name="PDV" sheetId="5" r:id="rId7"/>
    <sheet name="URA_75(2)" sheetId="9" r:id="rId8"/>
    <sheet name="ZP" sheetId="3" r:id="rId9"/>
    <sheet name="PDV-S" sheetId="4" r:id="rId10"/>
    <sheet name="FX082020" sheetId="11" r:id="rId11"/>
    <sheet name="Nicht anerkannt" sheetId="13" r:id="rId12"/>
  </sheets>
  <externalReferences>
    <externalReference r:id="rId13"/>
    <externalReference r:id="rId14"/>
    <externalReference r:id="rId15"/>
    <externalReference r:id="rId16"/>
  </externalReferences>
  <definedNames>
    <definedName name="_xlnm.Print_Area" localSheetId="6">PDV!$A$2:$E$73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43" i="1" l="1"/>
  <c r="U44" i="1"/>
  <c r="U45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29" i="1"/>
  <c r="J52" i="8"/>
  <c r="K53" i="2" l="1"/>
  <c r="N41" i="2"/>
  <c r="M41" i="2" s="1"/>
  <c r="K41" i="2" s="1"/>
  <c r="P41" i="2"/>
  <c r="R41" i="2"/>
  <c r="V47" i="1" l="1"/>
  <c r="H47" i="1"/>
  <c r="U47" i="1" l="1"/>
  <c r="J96" i="2"/>
  <c r="I96" i="2"/>
  <c r="P83" i="2"/>
  <c r="R83" i="2"/>
  <c r="P84" i="2"/>
  <c r="R84" i="2"/>
  <c r="P85" i="2"/>
  <c r="R85" i="2"/>
  <c r="P86" i="2"/>
  <c r="R86" i="2"/>
  <c r="P87" i="2"/>
  <c r="R87" i="2"/>
  <c r="P88" i="2"/>
  <c r="R88" i="2"/>
  <c r="P89" i="2"/>
  <c r="R89" i="2"/>
  <c r="P90" i="2"/>
  <c r="R90" i="2"/>
  <c r="P91" i="2"/>
  <c r="R91" i="2"/>
  <c r="M91" i="2" l="1"/>
  <c r="K91" i="2" s="1"/>
  <c r="M89" i="2"/>
  <c r="K89" i="2" s="1"/>
  <c r="M87" i="2"/>
  <c r="K87" i="2" s="1"/>
  <c r="M85" i="2"/>
  <c r="K85" i="2" s="1"/>
  <c r="M83" i="2"/>
  <c r="K83" i="2" s="1"/>
  <c r="M90" i="2"/>
  <c r="K90" i="2" s="1"/>
  <c r="M88" i="2"/>
  <c r="K88" i="2" s="1"/>
  <c r="M86" i="2"/>
  <c r="K86" i="2" s="1"/>
  <c r="M84" i="2"/>
  <c r="K84" i="2" s="1"/>
  <c r="R53" i="2"/>
  <c r="P48" i="2"/>
  <c r="R48" i="2"/>
  <c r="N40" i="2"/>
  <c r="P40" i="2"/>
  <c r="R40" i="2"/>
  <c r="P35" i="2"/>
  <c r="R29" i="2"/>
  <c r="M48" i="2" l="1"/>
  <c r="K48" i="2" s="1"/>
  <c r="M40" i="2"/>
  <c r="K40" i="2" s="1"/>
  <c r="P66" i="2" l="1"/>
  <c r="R66" i="2"/>
  <c r="P67" i="2"/>
  <c r="R67" i="2"/>
  <c r="P68" i="2"/>
  <c r="R68" i="2"/>
  <c r="P69" i="2"/>
  <c r="R69" i="2"/>
  <c r="P70" i="2"/>
  <c r="R70" i="2"/>
  <c r="P71" i="2"/>
  <c r="R71" i="2"/>
  <c r="P72" i="2"/>
  <c r="R72" i="2"/>
  <c r="P73" i="2"/>
  <c r="R73" i="2"/>
  <c r="P74" i="2"/>
  <c r="R74" i="2"/>
  <c r="M66" i="2" l="1"/>
  <c r="K66" i="2" s="1"/>
  <c r="M71" i="2"/>
  <c r="K71" i="2" s="1"/>
  <c r="M69" i="2"/>
  <c r="K69" i="2" s="1"/>
  <c r="M72" i="2"/>
  <c r="K72" i="2" s="1"/>
  <c r="M67" i="2"/>
  <c r="K67" i="2" s="1"/>
  <c r="M73" i="2"/>
  <c r="K73" i="2" s="1"/>
  <c r="M68" i="2"/>
  <c r="K68" i="2" s="1"/>
  <c r="M70" i="2"/>
  <c r="K70" i="2" s="1"/>
  <c r="M74" i="2"/>
  <c r="K74" i="2" s="1"/>
  <c r="P59" i="2"/>
  <c r="M59" i="2" l="1"/>
  <c r="K59" i="2" s="1"/>
  <c r="P95" i="2"/>
  <c r="P53" i="2"/>
  <c r="M53" i="2" s="1"/>
  <c r="P54" i="2"/>
  <c r="R54" i="2"/>
  <c r="P55" i="2"/>
  <c r="R55" i="2"/>
  <c r="P56" i="2"/>
  <c r="R56" i="2"/>
  <c r="P57" i="2"/>
  <c r="R57" i="2"/>
  <c r="P58" i="2"/>
  <c r="R58" i="2"/>
  <c r="P60" i="2"/>
  <c r="R60" i="2"/>
  <c r="P61" i="2"/>
  <c r="R61" i="2"/>
  <c r="P62" i="2"/>
  <c r="R62" i="2"/>
  <c r="P63" i="2"/>
  <c r="R63" i="2"/>
  <c r="P64" i="2"/>
  <c r="R64" i="2"/>
  <c r="P75" i="2"/>
  <c r="R75" i="2"/>
  <c r="P76" i="2"/>
  <c r="R76" i="2"/>
  <c r="P77" i="2"/>
  <c r="R77" i="2"/>
  <c r="P78" i="2"/>
  <c r="R78" i="2"/>
  <c r="P79" i="2"/>
  <c r="R79" i="2"/>
  <c r="M64" i="2" l="1"/>
  <c r="K64" i="2" s="1"/>
  <c r="M62" i="2"/>
  <c r="K62" i="2" s="1"/>
  <c r="M79" i="2"/>
  <c r="K79" i="2" s="1"/>
  <c r="M77" i="2"/>
  <c r="K77" i="2" s="1"/>
  <c r="M75" i="2"/>
  <c r="K75" i="2" s="1"/>
  <c r="M58" i="2"/>
  <c r="K58" i="2" s="1"/>
  <c r="M60" i="2"/>
  <c r="K60" i="2" s="1"/>
  <c r="M57" i="2"/>
  <c r="K57" i="2" s="1"/>
  <c r="M55" i="2"/>
  <c r="K55" i="2" s="1"/>
  <c r="M56" i="2"/>
  <c r="K56" i="2" s="1"/>
  <c r="M78" i="2"/>
  <c r="K78" i="2" s="1"/>
  <c r="M76" i="2"/>
  <c r="K76" i="2" s="1"/>
  <c r="M63" i="2"/>
  <c r="K63" i="2" s="1"/>
  <c r="M61" i="2"/>
  <c r="K61" i="2" s="1"/>
  <c r="M54" i="2"/>
  <c r="K54" i="2" s="1"/>
  <c r="J32" i="8"/>
  <c r="R32" i="8" s="1"/>
  <c r="M32" i="8" s="1"/>
  <c r="K32" i="8" s="1"/>
  <c r="J33" i="8"/>
  <c r="R33" i="8" s="1"/>
  <c r="M33" i="8" s="1"/>
  <c r="K33" i="8" s="1"/>
  <c r="J34" i="8"/>
  <c r="R35" i="8"/>
  <c r="M35" i="8" s="1"/>
  <c r="K35" i="8" s="1"/>
  <c r="J36" i="8"/>
  <c r="R36" i="8" s="1"/>
  <c r="M36" i="8" s="1"/>
  <c r="K36" i="8" s="1"/>
  <c r="J37" i="8"/>
  <c r="R37" i="8" s="1"/>
  <c r="M37" i="8" s="1"/>
  <c r="K37" i="8" s="1"/>
  <c r="J38" i="8"/>
  <c r="R38" i="8" s="1"/>
  <c r="M38" i="8" s="1"/>
  <c r="K38" i="8" s="1"/>
  <c r="J39" i="8"/>
  <c r="R39" i="8" s="1"/>
  <c r="M39" i="8" s="1"/>
  <c r="K39" i="8" s="1"/>
  <c r="J41" i="8"/>
  <c r="R41" i="8" s="1"/>
  <c r="M41" i="8" s="1"/>
  <c r="K41" i="8" s="1"/>
  <c r="J42" i="8"/>
  <c r="R42" i="8" s="1"/>
  <c r="M42" i="8" s="1"/>
  <c r="K42" i="8" s="1"/>
  <c r="J43" i="8"/>
  <c r="R43" i="8" s="1"/>
  <c r="M43" i="8" s="1"/>
  <c r="K43" i="8" s="1"/>
  <c r="J44" i="8"/>
  <c r="R44" i="8" s="1"/>
  <c r="M44" i="8" s="1"/>
  <c r="K44" i="8" s="1"/>
  <c r="J45" i="8"/>
  <c r="R45" i="8" s="1"/>
  <c r="M45" i="8" s="1"/>
  <c r="K45" i="8" s="1"/>
  <c r="J46" i="8"/>
  <c r="R46" i="8" s="1"/>
  <c r="M46" i="8" s="1"/>
  <c r="K46" i="8" s="1"/>
  <c r="J47" i="8"/>
  <c r="R47" i="8" s="1"/>
  <c r="M47" i="8" s="1"/>
  <c r="K47" i="8" s="1"/>
  <c r="J48" i="8"/>
  <c r="R48" i="8" s="1"/>
  <c r="M48" i="8" s="1"/>
  <c r="K48" i="8" s="1"/>
  <c r="J49" i="8"/>
  <c r="R49" i="8" s="1"/>
  <c r="M49" i="8" s="1"/>
  <c r="J50" i="8"/>
  <c r="R50" i="8" s="1"/>
  <c r="M50" i="8" s="1"/>
  <c r="K50" i="8" s="1"/>
  <c r="J51" i="8"/>
  <c r="R51" i="8" s="1"/>
  <c r="M51" i="8" s="1"/>
  <c r="K51" i="8" s="1"/>
  <c r="J31" i="8"/>
  <c r="R31" i="8" s="1"/>
  <c r="M31" i="8" s="1"/>
  <c r="K31" i="8" s="1"/>
  <c r="R34" i="8" l="1"/>
  <c r="M34" i="8" s="1"/>
  <c r="K34" i="8" s="1"/>
  <c r="K49" i="8"/>
  <c r="N35" i="2" l="1"/>
  <c r="R35" i="2"/>
  <c r="P36" i="2"/>
  <c r="R36" i="2"/>
  <c r="N37" i="2"/>
  <c r="P37" i="2"/>
  <c r="R37" i="2"/>
  <c r="P38" i="2"/>
  <c r="R38" i="2"/>
  <c r="N39" i="2"/>
  <c r="P39" i="2"/>
  <c r="R39" i="2"/>
  <c r="P42" i="2"/>
  <c r="R42" i="2"/>
  <c r="P43" i="2"/>
  <c r="R43" i="2"/>
  <c r="N44" i="2"/>
  <c r="P44" i="2"/>
  <c r="R44" i="2"/>
  <c r="P45" i="2"/>
  <c r="R45" i="2"/>
  <c r="N46" i="2"/>
  <c r="P46" i="2"/>
  <c r="R46" i="2"/>
  <c r="P47" i="2"/>
  <c r="R47" i="2"/>
  <c r="P49" i="2"/>
  <c r="R49" i="2"/>
  <c r="N50" i="2"/>
  <c r="P50" i="2"/>
  <c r="R50" i="2"/>
  <c r="P51" i="2"/>
  <c r="R51" i="2"/>
  <c r="N52" i="2"/>
  <c r="P52" i="2"/>
  <c r="R52" i="2"/>
  <c r="J30" i="8"/>
  <c r="M42" i="2" l="1"/>
  <c r="K42" i="2" s="1"/>
  <c r="M37" i="2"/>
  <c r="K37" i="2" s="1"/>
  <c r="M35" i="2"/>
  <c r="K35" i="2" s="1"/>
  <c r="M49" i="2"/>
  <c r="K49" i="2" s="1"/>
  <c r="R30" i="8"/>
  <c r="M30" i="8" s="1"/>
  <c r="K30" i="8" s="1"/>
  <c r="M50" i="2"/>
  <c r="K50" i="2" s="1"/>
  <c r="M45" i="2"/>
  <c r="K45" i="2" s="1"/>
  <c r="M36" i="2"/>
  <c r="K36" i="2" s="1"/>
  <c r="M52" i="2"/>
  <c r="K52" i="2" s="1"/>
  <c r="M43" i="2"/>
  <c r="K43" i="2" s="1"/>
  <c r="M51" i="2"/>
  <c r="K51" i="2" s="1"/>
  <c r="M44" i="2"/>
  <c r="K44" i="2" s="1"/>
  <c r="M47" i="2"/>
  <c r="K47" i="2" s="1"/>
  <c r="M46" i="2"/>
  <c r="K46" i="2" s="1"/>
  <c r="M38" i="2"/>
  <c r="K38" i="2" s="1"/>
  <c r="M39" i="2"/>
  <c r="K39" i="2" s="1"/>
  <c r="C35" i="5"/>
  <c r="K39" i="4"/>
  <c r="H39" i="4" s="1"/>
  <c r="J29" i="8" l="1"/>
  <c r="R29" i="8" l="1"/>
  <c r="K38" i="4"/>
  <c r="H38" i="4" s="1"/>
  <c r="H61" i="4" s="1"/>
  <c r="C54" i="5"/>
  <c r="C38" i="5" s="1"/>
  <c r="N33" i="2"/>
  <c r="P92" i="2"/>
  <c r="R92" i="2"/>
  <c r="P93" i="2"/>
  <c r="R93" i="2"/>
  <c r="P94" i="2"/>
  <c r="R94" i="2"/>
  <c r="P82" i="2"/>
  <c r="M92" i="2" l="1"/>
  <c r="K92" i="2" s="1"/>
  <c r="M93" i="2"/>
  <c r="K93" i="2" s="1"/>
  <c r="M29" i="8"/>
  <c r="K29" i="8" s="1"/>
  <c r="D54" i="5"/>
  <c r="X47" i="1"/>
  <c r="W47" i="1"/>
  <c r="D30" i="5"/>
  <c r="R95" i="2" l="1"/>
  <c r="M95" i="2" s="1"/>
  <c r="K95" i="2" s="1"/>
  <c r="J6" i="4" l="1"/>
  <c r="N5" i="3"/>
  <c r="B14" i="5"/>
  <c r="B8" i="5"/>
  <c r="R30" i="2"/>
  <c r="R31" i="2"/>
  <c r="R32" i="2"/>
  <c r="R33" i="2"/>
  <c r="R34" i="2"/>
  <c r="R80" i="2"/>
  <c r="R82" i="2"/>
  <c r="P33" i="2"/>
  <c r="P34" i="2"/>
  <c r="P80" i="2"/>
  <c r="M80" i="2" l="1"/>
  <c r="K80" i="2" s="1"/>
  <c r="M82" i="2"/>
  <c r="K82" i="2" s="1"/>
  <c r="M34" i="2"/>
  <c r="K34" i="2" s="1"/>
  <c r="P29" i="2"/>
  <c r="M29" i="2" s="1"/>
  <c r="K29" i="2" s="1"/>
  <c r="P32" i="2"/>
  <c r="M32" i="2" s="1"/>
  <c r="K32" i="2" s="1"/>
  <c r="M33" i="2" l="1"/>
  <c r="K33" i="2" s="1"/>
  <c r="P30" i="2" l="1"/>
  <c r="M30" i="2" l="1"/>
  <c r="K30" i="2" s="1"/>
  <c r="C47" i="5"/>
  <c r="P31" i="2"/>
  <c r="M31" i="2" s="1"/>
  <c r="K31" i="2" s="1"/>
  <c r="R96" i="2"/>
  <c r="C46" i="5"/>
  <c r="D46" i="5" s="1"/>
  <c r="C30" i="5"/>
  <c r="C28" i="5" s="1"/>
  <c r="C16" i="5" s="1"/>
  <c r="G6" i="4"/>
  <c r="G8" i="4"/>
  <c r="G11" i="4"/>
  <c r="G13" i="4"/>
  <c r="O96" i="2"/>
  <c r="Q96" i="2"/>
  <c r="S96" i="2"/>
  <c r="H96" i="2"/>
  <c r="C45" i="5" s="1"/>
  <c r="N96" i="2"/>
  <c r="D45" i="5" s="1"/>
  <c r="L96" i="2"/>
  <c r="M94" i="2"/>
  <c r="K94" i="2" s="1"/>
  <c r="A1" i="2"/>
  <c r="D29" i="5"/>
  <c r="C29" i="5"/>
  <c r="K37" i="10"/>
  <c r="G15" i="2"/>
  <c r="M21" i="10"/>
  <c r="C11" i="10"/>
  <c r="C9" i="10"/>
  <c r="C4" i="10"/>
  <c r="A1" i="10"/>
  <c r="I11" i="4"/>
  <c r="I8" i="4"/>
  <c r="M10" i="3"/>
  <c r="M7" i="3"/>
  <c r="D8" i="5"/>
  <c r="C11" i="9"/>
  <c r="C4" i="9"/>
  <c r="A1" i="9"/>
  <c r="C11" i="8"/>
  <c r="C4" i="8"/>
  <c r="A1" i="8"/>
  <c r="C11" i="2"/>
  <c r="C4" i="2"/>
  <c r="C11" i="1"/>
  <c r="C4" i="1"/>
  <c r="A1" i="1"/>
  <c r="M21" i="9"/>
  <c r="G15" i="9"/>
  <c r="C9" i="9"/>
  <c r="B253" i="6"/>
  <c r="B256" i="6" s="1"/>
  <c r="B259" i="6" s="1"/>
  <c r="S23" i="9" s="1"/>
  <c r="B252" i="6"/>
  <c r="N23" i="9" s="1"/>
  <c r="B250" i="6"/>
  <c r="N19" i="9" s="1"/>
  <c r="B249" i="6"/>
  <c r="L24" i="9" s="1"/>
  <c r="L24" i="10"/>
  <c r="B248" i="6"/>
  <c r="K21" i="10" s="1"/>
  <c r="B244" i="6"/>
  <c r="H21" i="10" s="1"/>
  <c r="B243" i="6"/>
  <c r="G21" i="10"/>
  <c r="B242" i="6"/>
  <c r="E21" i="9" s="1"/>
  <c r="B241" i="6"/>
  <c r="E19" i="10" s="1"/>
  <c r="B240" i="6"/>
  <c r="D21" i="10" s="1"/>
  <c r="B239" i="6"/>
  <c r="C21" i="10" s="1"/>
  <c r="B238" i="6"/>
  <c r="C19" i="10" s="1"/>
  <c r="B237" i="6"/>
  <c r="B19" i="10" s="1"/>
  <c r="B236" i="6"/>
  <c r="O16" i="10" s="1"/>
  <c r="B234" i="6"/>
  <c r="C13" i="10" s="1"/>
  <c r="B232" i="6"/>
  <c r="C6" i="10" s="1"/>
  <c r="B231" i="6"/>
  <c r="C3" i="10" s="1"/>
  <c r="M21" i="8"/>
  <c r="G15" i="8"/>
  <c r="C9" i="8"/>
  <c r="B221" i="6"/>
  <c r="B224" i="6" s="1"/>
  <c r="B220" i="6"/>
  <c r="B223" i="6" s="1"/>
  <c r="B218" i="6"/>
  <c r="N19" i="8" s="1"/>
  <c r="B217" i="6"/>
  <c r="L24" i="8" s="1"/>
  <c r="B216" i="6"/>
  <c r="K21" i="8" s="1"/>
  <c r="B212" i="6"/>
  <c r="H21" i="8" s="1"/>
  <c r="B211" i="6"/>
  <c r="G21" i="8" s="1"/>
  <c r="B210" i="6"/>
  <c r="E21" i="8" s="1"/>
  <c r="B209" i="6"/>
  <c r="E19" i="8" s="1"/>
  <c r="B208" i="6"/>
  <c r="D21" i="8" s="1"/>
  <c r="B207" i="6"/>
  <c r="C21" i="8" s="1"/>
  <c r="B206" i="6"/>
  <c r="C19" i="8" s="1"/>
  <c r="B205" i="6"/>
  <c r="B19" i="8"/>
  <c r="B204" i="6"/>
  <c r="O16" i="8" s="1"/>
  <c r="B202" i="6"/>
  <c r="C13" i="8" s="1"/>
  <c r="B200" i="6"/>
  <c r="C6" i="8" s="1"/>
  <c r="B199" i="6"/>
  <c r="C3" i="8" s="1"/>
  <c r="K38" i="9"/>
  <c r="J38" i="9"/>
  <c r="R37" i="9"/>
  <c r="R36" i="9"/>
  <c r="R35" i="9"/>
  <c r="O23" i="8"/>
  <c r="O16" i="9"/>
  <c r="H21" i="9"/>
  <c r="G21" i="9"/>
  <c r="C6" i="9"/>
  <c r="N23" i="10"/>
  <c r="J72" i="4"/>
  <c r="J70" i="4"/>
  <c r="B72" i="4"/>
  <c r="B70" i="4"/>
  <c r="B61" i="4"/>
  <c r="H26" i="4"/>
  <c r="F26" i="4"/>
  <c r="D26" i="4"/>
  <c r="C26" i="4"/>
  <c r="B26" i="4"/>
  <c r="B20" i="4"/>
  <c r="I6" i="4"/>
  <c r="B9" i="4"/>
  <c r="B6" i="4"/>
  <c r="I3" i="4"/>
  <c r="M21" i="2"/>
  <c r="C9" i="2"/>
  <c r="G15" i="1"/>
  <c r="C15" i="5"/>
  <c r="B5" i="5"/>
  <c r="B15" i="5"/>
  <c r="D12" i="7"/>
  <c r="C12" i="7"/>
  <c r="B12" i="7"/>
  <c r="C88" i="6"/>
  <c r="D88" i="6"/>
  <c r="B88" i="6"/>
  <c r="D10" i="5" s="1"/>
  <c r="C11" i="5"/>
  <c r="B11" i="5"/>
  <c r="D5" i="5"/>
  <c r="C5" i="5"/>
  <c r="D2" i="5"/>
  <c r="A15" i="7"/>
  <c r="A13" i="7"/>
  <c r="A11" i="7"/>
  <c r="A9" i="7"/>
  <c r="A7" i="7"/>
  <c r="A5" i="7"/>
  <c r="B40" i="6"/>
  <c r="B43" i="6" s="1"/>
  <c r="B46" i="6" s="1"/>
  <c r="B39" i="6"/>
  <c r="S23" i="1" s="1"/>
  <c r="B37" i="6"/>
  <c r="S19" i="1" s="1"/>
  <c r="B36" i="6"/>
  <c r="R21" i="1" s="1"/>
  <c r="B35" i="6"/>
  <c r="Q21" i="1" s="1"/>
  <c r="B34" i="6"/>
  <c r="P21" i="1" s="1"/>
  <c r="B33" i="6"/>
  <c r="O21" i="1" s="1"/>
  <c r="B32" i="6"/>
  <c r="N21" i="1" s="1"/>
  <c r="B31" i="6"/>
  <c r="M21" i="1" s="1"/>
  <c r="B30" i="6"/>
  <c r="L21" i="1" s="1"/>
  <c r="B29" i="6"/>
  <c r="K21" i="1" s="1"/>
  <c r="B28" i="6"/>
  <c r="J21" i="1" s="1"/>
  <c r="B27" i="6"/>
  <c r="I21" i="1" s="1"/>
  <c r="B26" i="6"/>
  <c r="I19" i="1" s="1"/>
  <c r="B25" i="6"/>
  <c r="H19" i="1" s="1"/>
  <c r="B24" i="6"/>
  <c r="G21" i="1" s="1"/>
  <c r="B23" i="6"/>
  <c r="E21" i="1" s="1"/>
  <c r="B22" i="6"/>
  <c r="E19" i="1" s="1"/>
  <c r="B21" i="6"/>
  <c r="D21" i="1" s="1"/>
  <c r="B20" i="6"/>
  <c r="C21" i="1" s="1"/>
  <c r="B19" i="6"/>
  <c r="C19" i="1" s="1"/>
  <c r="B18" i="6"/>
  <c r="B19" i="1"/>
  <c r="B17" i="6"/>
  <c r="T17" i="1" s="1"/>
  <c r="B15" i="6"/>
  <c r="C13" i="1" s="1"/>
  <c r="B14" i="6"/>
  <c r="C9" i="1" s="1"/>
  <c r="B13" i="6"/>
  <c r="C6" i="1" s="1"/>
  <c r="B12" i="6"/>
  <c r="C3" i="1" s="1"/>
  <c r="T23" i="1"/>
  <c r="B73" i="6"/>
  <c r="B76" i="6" s="1"/>
  <c r="B79" i="6" s="1"/>
  <c r="S23" i="2" s="1"/>
  <c r="B72" i="6"/>
  <c r="N23" i="2" s="1"/>
  <c r="B70" i="6"/>
  <c r="N19" i="2" s="1"/>
  <c r="B69" i="6"/>
  <c r="L24" i="2" s="1"/>
  <c r="B68" i="6"/>
  <c r="K21" i="2" s="1"/>
  <c r="B64" i="6"/>
  <c r="H21" i="2" s="1"/>
  <c r="B63" i="6"/>
  <c r="G21" i="2" s="1"/>
  <c r="B62" i="6"/>
  <c r="E21" i="2" s="1"/>
  <c r="B61" i="6"/>
  <c r="E19" i="2" s="1"/>
  <c r="B60" i="6"/>
  <c r="D21" i="2" s="1"/>
  <c r="B59" i="6"/>
  <c r="C21" i="2" s="1"/>
  <c r="B58" i="6"/>
  <c r="C19" i="2" s="1"/>
  <c r="B57" i="6"/>
  <c r="B19" i="2" s="1"/>
  <c r="B56" i="6"/>
  <c r="O16" i="2" s="1"/>
  <c r="B54" i="6"/>
  <c r="C13" i="2" s="1"/>
  <c r="B52" i="6"/>
  <c r="C6" i="2" s="1"/>
  <c r="B51" i="6"/>
  <c r="C3" i="2" s="1"/>
  <c r="X23" i="1"/>
  <c r="V23" i="1"/>
  <c r="B161" i="6"/>
  <c r="C28" i="3" s="1"/>
  <c r="B171" i="6"/>
  <c r="K77" i="3" s="1"/>
  <c r="B170" i="6"/>
  <c r="K75" i="3"/>
  <c r="B169" i="6"/>
  <c r="B77" i="3" s="1"/>
  <c r="B168" i="6"/>
  <c r="B75" i="3" s="1"/>
  <c r="B167" i="6"/>
  <c r="B63" i="3"/>
  <c r="B166" i="6"/>
  <c r="M28" i="3" s="1"/>
  <c r="B165" i="6"/>
  <c r="J28" i="3" s="1"/>
  <c r="B164" i="6"/>
  <c r="H28" i="3"/>
  <c r="B163" i="6"/>
  <c r="F28" i="3" s="1"/>
  <c r="B162" i="6"/>
  <c r="D28" i="3" s="1"/>
  <c r="B160" i="6"/>
  <c r="B28" i="3" s="1"/>
  <c r="B159" i="6"/>
  <c r="E23" i="3" s="1"/>
  <c r="B158" i="6"/>
  <c r="G19" i="3" s="1"/>
  <c r="B156" i="6"/>
  <c r="K12" i="3" s="1"/>
  <c r="B155" i="6"/>
  <c r="K10" i="3" s="1"/>
  <c r="B154" i="6"/>
  <c r="K7" i="3" s="1"/>
  <c r="B152" i="6"/>
  <c r="K5" i="3" s="1"/>
  <c r="B151" i="6"/>
  <c r="B9" i="3"/>
  <c r="B150" i="6"/>
  <c r="B6" i="3" s="1"/>
  <c r="B149" i="6"/>
  <c r="M2" i="3" s="1"/>
  <c r="Q23" i="2"/>
  <c r="B139" i="6"/>
  <c r="B63" i="5" s="1"/>
  <c r="B138" i="6"/>
  <c r="B62" i="5" s="1"/>
  <c r="B137" i="6"/>
  <c r="B61" i="5" s="1"/>
  <c r="B136" i="6"/>
  <c r="B60" i="5" s="1"/>
  <c r="B135" i="6"/>
  <c r="B59" i="5" s="1"/>
  <c r="B134" i="6"/>
  <c r="B58" i="5" s="1"/>
  <c r="B133" i="6"/>
  <c r="B57" i="5" s="1"/>
  <c r="B132" i="6"/>
  <c r="B56" i="5" s="1"/>
  <c r="B131" i="6"/>
  <c r="B55" i="5" s="1"/>
  <c r="B130" i="6"/>
  <c r="B54" i="5" s="1"/>
  <c r="B129" i="6"/>
  <c r="B53" i="5" s="1"/>
  <c r="B128" i="6"/>
  <c r="B52" i="5" s="1"/>
  <c r="B127" i="6"/>
  <c r="B51" i="5" s="1"/>
  <c r="B126" i="6"/>
  <c r="B50" i="5" s="1"/>
  <c r="B125" i="6"/>
  <c r="B49" i="5" s="1"/>
  <c r="B124" i="6"/>
  <c r="B48" i="5" s="1"/>
  <c r="B123" i="6"/>
  <c r="B47" i="5"/>
  <c r="B122" i="6"/>
  <c r="B46" i="5" s="1"/>
  <c r="B121" i="6"/>
  <c r="B45" i="5"/>
  <c r="B120" i="6"/>
  <c r="B44" i="5" s="1"/>
  <c r="B119" i="6"/>
  <c r="B43" i="5"/>
  <c r="B118" i="6"/>
  <c r="B42" i="5" s="1"/>
  <c r="B117" i="6"/>
  <c r="B41" i="5" s="1"/>
  <c r="B116" i="6"/>
  <c r="B40" i="5" s="1"/>
  <c r="B115" i="6"/>
  <c r="B39" i="5" s="1"/>
  <c r="B114" i="6"/>
  <c r="B38" i="5" s="1"/>
  <c r="B113" i="6"/>
  <c r="B37" i="5" s="1"/>
  <c r="B112" i="6"/>
  <c r="B36" i="5"/>
  <c r="B111" i="6"/>
  <c r="B35" i="5" s="1"/>
  <c r="B110" i="6"/>
  <c r="B34" i="5" s="1"/>
  <c r="B109" i="6"/>
  <c r="B33" i="5"/>
  <c r="B108" i="6"/>
  <c r="B32" i="5"/>
  <c r="B107" i="6"/>
  <c r="B31" i="5" s="1"/>
  <c r="B106" i="6"/>
  <c r="B30" i="5" s="1"/>
  <c r="B105" i="6"/>
  <c r="B29" i="5"/>
  <c r="B104" i="6"/>
  <c r="B28" i="5" s="1"/>
  <c r="B103" i="6"/>
  <c r="B27" i="5" s="1"/>
  <c r="B102" i="6"/>
  <c r="B26" i="5" s="1"/>
  <c r="B101" i="6"/>
  <c r="B25" i="5" s="1"/>
  <c r="B100" i="6"/>
  <c r="B24" i="5" s="1"/>
  <c r="B99" i="6"/>
  <c r="B23" i="5" s="1"/>
  <c r="B98" i="6"/>
  <c r="B22" i="5" s="1"/>
  <c r="B97" i="6"/>
  <c r="B21" i="5" s="1"/>
  <c r="B96" i="6"/>
  <c r="B20" i="5" s="1"/>
  <c r="B95" i="6"/>
  <c r="B19" i="5"/>
  <c r="B94" i="6"/>
  <c r="B18" i="5" s="1"/>
  <c r="B93" i="6"/>
  <c r="B17" i="5" s="1"/>
  <c r="B92" i="6"/>
  <c r="B16" i="5"/>
  <c r="B91" i="6"/>
  <c r="D15" i="5" s="1"/>
  <c r="C17" i="5"/>
  <c r="K96" i="2" l="1"/>
  <c r="C44" i="5"/>
  <c r="B255" i="6"/>
  <c r="B258" i="6" s="1"/>
  <c r="R52" i="8"/>
  <c r="D47" i="5"/>
  <c r="F61" i="4"/>
  <c r="P96" i="2"/>
  <c r="R23" i="9"/>
  <c r="R23" i="10"/>
  <c r="P23" i="9"/>
  <c r="P23" i="10"/>
  <c r="D21" i="9"/>
  <c r="E21" i="10"/>
  <c r="N19" i="10"/>
  <c r="C13" i="9"/>
  <c r="C21" i="9"/>
  <c r="B75" i="6"/>
  <c r="B42" i="6"/>
  <c r="B45" i="6" s="1"/>
  <c r="W23" i="1" s="1"/>
  <c r="R38" i="9"/>
  <c r="C19" i="9"/>
  <c r="B226" i="6"/>
  <c r="R23" i="8" s="1"/>
  <c r="P23" i="8"/>
  <c r="B227" i="6"/>
  <c r="S23" i="8" s="1"/>
  <c r="Q23" i="8"/>
  <c r="O23" i="2"/>
  <c r="S23" i="10"/>
  <c r="Q23" i="9"/>
  <c r="K21" i="9"/>
  <c r="Q23" i="10"/>
  <c r="C3" i="9"/>
  <c r="B19" i="9"/>
  <c r="U23" i="1"/>
  <c r="E19" i="9"/>
  <c r="N23" i="8"/>
  <c r="O23" i="10"/>
  <c r="O23" i="9"/>
  <c r="K52" i="8"/>
  <c r="D44" i="5" l="1"/>
  <c r="D38" i="5"/>
  <c r="D28" i="5" s="1"/>
  <c r="H45" i="5"/>
  <c r="B78" i="6"/>
  <c r="R23" i="2" s="1"/>
  <c r="P23" i="2"/>
  <c r="D60" i="5" l="1"/>
  <c r="D62" i="5" s="1"/>
  <c r="M96" i="2" l="1"/>
</calcChain>
</file>

<file path=xl/sharedStrings.xml><?xml version="1.0" encoding="utf-8"?>
<sst xmlns="http://schemas.openxmlformats.org/spreadsheetml/2006/main" count="921" uniqueCount="653">
  <si>
    <t>10 (11+12+13+14+15+16)</t>
  </si>
  <si>
    <t>HR</t>
  </si>
  <si>
    <t>"(15)</t>
  </si>
  <si>
    <t>"(16)</t>
  </si>
  <si>
    <t>"(17)</t>
  </si>
  <si>
    <t>"(18)</t>
  </si>
  <si>
    <t>XX XXX</t>
  </si>
  <si>
    <t>TITLE / NAME AND SURNAME</t>
  </si>
  <si>
    <t>NUMERAL CLASSIFICATION BY NATIONAL</t>
  </si>
  <si>
    <t>LEDGER OF OUTGOING INVOICES</t>
  </si>
  <si>
    <t>ORDINAL NUMBER</t>
  </si>
  <si>
    <t>NUMBER</t>
  </si>
  <si>
    <t>DATE</t>
  </si>
  <si>
    <t>INVOICE</t>
  </si>
  <si>
    <t>CUSTOMER (RECIPIENT OF GOODS OR SERVICES)</t>
  </si>
  <si>
    <t>TITLE / NAME AND SURNAME, HEADQUARTERS / PLACE OF RESIDENCE</t>
  </si>
  <si>
    <t>AMOUNT (including VAT)</t>
  </si>
  <si>
    <t>INLAND TRANSMISSION OF TAX LIABILITY</t>
  </si>
  <si>
    <t>NOT SUBJECT TO TAXATION AND VAT FREE</t>
  </si>
  <si>
    <t>SERVICES RENDERED WITHIN EU</t>
  </si>
  <si>
    <t>SHIPMENT OF GOODS WITHIN EU</t>
  </si>
  <si>
    <t>INLAND</t>
  </si>
  <si>
    <t>EXPORT SHIPMENT</t>
  </si>
  <si>
    <t>OTHER TAX EXEMPTIONS</t>
  </si>
  <si>
    <t>TAXABLE</t>
  </si>
  <si>
    <t>TAX BASIS</t>
  </si>
  <si>
    <t>TAX</t>
  </si>
  <si>
    <t xml:space="preserve">ADDRESS: TOWN, STREET AND NUMBER </t>
  </si>
  <si>
    <t>LEDGER OF INCOMING INVOICES</t>
  </si>
  <si>
    <t>AMOUNT IN KUNA AND LIPA</t>
  </si>
  <si>
    <t>SUPPLIER (DISTRIBUTOR OF GOODS OR SERVICES)</t>
  </si>
  <si>
    <t>TOTAL AMOUNT OF INVOICE INCLUDING VAT</t>
  </si>
  <si>
    <t>CAN BE DEDUCTED</t>
  </si>
  <si>
    <t>CAN NOT BE DEDUCTED</t>
  </si>
  <si>
    <t>TAX ADMINISTRATION  (1)</t>
  </si>
  <si>
    <t>REGIONAL OFFICE (2)</t>
  </si>
  <si>
    <t>VAT ID NUMBER (3)</t>
  </si>
  <si>
    <t>Address (town, street and number) (5)</t>
  </si>
  <si>
    <t>VAT ID NUMBER of tax representative (6)</t>
  </si>
  <si>
    <t xml:space="preserve">Ordinal number               (8)               </t>
  </si>
  <si>
    <t>VAT ID NUMBER of recipient (without country code)           (10)</t>
  </si>
  <si>
    <t>Value of goods delivered (in kuna and lipa)             (11)</t>
  </si>
  <si>
    <t>Value of services rendered (provided) (in kuna and lipa)                (14)</t>
  </si>
  <si>
    <t>Total value</t>
  </si>
  <si>
    <t>I hereby confirm the authenticity of these data.</t>
  </si>
  <si>
    <t>Calculation drafted by                   (name and surname)                  (19)</t>
  </si>
  <si>
    <t>Signature (20)</t>
  </si>
  <si>
    <t>Telephone number / fax / e-mail              (21)</t>
  </si>
  <si>
    <t>Tax payer (title / name and surname) (4)</t>
  </si>
  <si>
    <t>Supplier's country code   (9)</t>
  </si>
  <si>
    <t>Supplier's VAT ID NUMBER (without country code)           (10)</t>
  </si>
  <si>
    <t>Value of goods acquired (in kuna and lipa)             (11)</t>
  </si>
  <si>
    <t>Value of services received (in kuna and lipa)                  (12)</t>
  </si>
  <si>
    <t>Calculation drafted by                   (name and surname)                          (15)</t>
  </si>
  <si>
    <t>Signature (16)</t>
  </si>
  <si>
    <t>VAT form</t>
  </si>
  <si>
    <t>TAX PAYER (title / name and surname, address: town, street and number)</t>
  </si>
  <si>
    <t>TAX REPRESENTATIVE (title / name and surname, address: town, street and number)</t>
  </si>
  <si>
    <t>DESCRIPTION</t>
  </si>
  <si>
    <t>TAX BASIS (in kuna and lipa)</t>
  </si>
  <si>
    <t>I. TRANSACTIONS WHICH ARE NOT SUBJECT TO TAXATION AND VAT FREE -TOTAL (1.+2.+3.+4.+5.+6.+7.+8.+9.+10.)</t>
  </si>
  <si>
    <t xml:space="preserve">  2. DELIVERIES OF GOODS AND SERVICES MADE IN OTHER COUNTRIES MEMBERS OF EU</t>
  </si>
  <si>
    <t xml:space="preserve">  6. ASSEMBLY AND INSTALLATION OF GOODS IN OTHER COUNTRIES MEMBERS OF EU</t>
  </si>
  <si>
    <t>VAT CALCULATION IN PROVIDED TRANSACTIONS OF GOODS AND SERVICES - TOTAL (I.+II.)</t>
  </si>
  <si>
    <t xml:space="preserve">  8. INLAND DELIVERIES</t>
  </si>
  <si>
    <t>II. TAXABLE TRANSACTIONS - TOTAL            (1.+2.+3.+4.+5.+6.+7.+8.+9.+10.+11.+12.+13.+14.)</t>
  </si>
  <si>
    <t xml:space="preserve">  7. ACQUISITION OF GOODS WITHIN EU TAXABLE BY RATE OF 25%</t>
  </si>
  <si>
    <t xml:space="preserve"> 10. OTHER TAX EXEMPTIONS</t>
  </si>
  <si>
    <t>IV. VAT LIABILITY FOR THE PERIOD: TO BE PAID (II.-III.) OR TO BE REFUNDED (III.-II.)</t>
  </si>
  <si>
    <t>VAT RETURN</t>
  </si>
  <si>
    <t>ADVANCE</t>
  </si>
  <si>
    <t>CESSION</t>
  </si>
  <si>
    <t>SHIPMENT OF GOODS IN OTHER EU MEMBERS STATES</t>
  </si>
  <si>
    <t>SERVICES RENDERED TO PERSONS WITHOUT HEADQUARTERS IN CROATIA</t>
  </si>
  <si>
    <t>ASSEMBLY AND INSTALLATION OF GOODS IN OTHER EU MEMBER STATES</t>
  </si>
  <si>
    <t>SHIPMENT OF NMT WITHIN EU</t>
  </si>
  <si>
    <t>VAT ID NUMBER / PIN (OIB)</t>
  </si>
  <si>
    <t>RECAPITULATIVE STATEMENT</t>
  </si>
  <si>
    <t>Country code     (9)</t>
  </si>
  <si>
    <t xml:space="preserve"> Value of goods delivered under procedure 42 and 63 (in kuna and lipa)              (12)</t>
  </si>
  <si>
    <t>Value of goods delivered within trilateral transactions (in kuna and lipa)                                  (13)</t>
  </si>
  <si>
    <t>VAT-S FORM</t>
  </si>
  <si>
    <t>Registration for the acquisition of goods and services from other EU member states             Month________________ Year__________</t>
  </si>
  <si>
    <t>Telephone number / fax /  e-mail       (17)</t>
  </si>
  <si>
    <t xml:space="preserve">VAT ID NUMBER / PIN (OIB) </t>
  </si>
  <si>
    <t xml:space="preserve">  3. DELIVERIES OF GOODS WITHIN THE EU</t>
  </si>
  <si>
    <t xml:space="preserve">  4. SERVICES PROVIDED WITHIN THE EU</t>
  </si>
  <si>
    <t xml:space="preserve">  5. SERVICES PROVIDED TO PERSONS WITHOUT HEADQUARTERS IN CROATIA</t>
  </si>
  <si>
    <t xml:space="preserve">  7. MEANS OF TRANSPORTATION DELIVERED WITHIN THE EU</t>
  </si>
  <si>
    <t xml:space="preserve">  1. DELIVERIES OF GOODS AND SERVICES IN CROATIA TAXABLE BY A RATE OF 5%</t>
  </si>
  <si>
    <t xml:space="preserve">  5. ACQUISITION OF GOODS WITHIN THE EU TAXABLE BY A RATE OF 5%</t>
  </si>
  <si>
    <t xml:space="preserve">  8. SERVICES RECEIVED FROM THE EU TAXABLE BY A RATE OF 5%</t>
  </si>
  <si>
    <t xml:space="preserve"> 10. SERVICES RECEIVED FROM THE EU TAXABLE BY A RATE OF 25%</t>
  </si>
  <si>
    <t>III. CALCULATED INPUT TAX - TOTAL (1.+2.+3.+4.+5.+6.+7.)</t>
  </si>
  <si>
    <t>VI. TOTAL DIFFERENCE: TO BE PAID / TO BE REFUNDED</t>
  </si>
  <si>
    <t>VII. PROPORTIONAL AMOUNT OF ANNUAL INPUT TAX DEDUCTION (%)</t>
  </si>
  <si>
    <t>________________ HRK</t>
  </si>
  <si>
    <t xml:space="preserve">________________HRK </t>
  </si>
  <si>
    <t xml:space="preserve">VAT 5%, 10% and 25% (in kuna and lipa) </t>
  </si>
  <si>
    <t>VAT ID NUMBER OF TAX REPRESENTATIVE / PIN (OIB)</t>
  </si>
  <si>
    <t>RS FORM</t>
  </si>
  <si>
    <t xml:space="preserve">  9. SERVICES RECEIVED FROM THE EU TAXABLE BY A RATE OF 13%</t>
  </si>
  <si>
    <t xml:space="preserve">  9. EXPORT DELIVERIES</t>
  </si>
  <si>
    <t xml:space="preserve">  1. INLAND DELIVERIES (DELIVERIES IN CROATIA) FOR WHICH VAT IS CALCULATED BY THE BENEFICIARY (THE RECIPIENT) (INLAND TRANSMISSION OF TAX LIABILITY)</t>
  </si>
  <si>
    <t>________________HRK</t>
  </si>
  <si>
    <t xml:space="preserve">  2. DELIVERIES OF GOODS AND SERVICES IN RH TAXABLE BY RATE OF 13%</t>
  </si>
  <si>
    <t xml:space="preserve">  6. ACQUISITION OF GOODS WITHIN THE EU TAXABLE BY A RATE OF 13%</t>
  </si>
  <si>
    <t xml:space="preserve"> 12. DELIVERIES OF GOODS AND SERVICES RECEIVED FROM TAX PAYERS WITHOUT HEADQUARTERS IN CROATIA TAXABLE BY A RATE OF 13%</t>
  </si>
  <si>
    <t xml:space="preserve"> 13. DELIVERIES OF GOODS AND SERVICES RECEIVED FROM TAX PAYERS WITHOUT HEADQUARTERS IN RH TAXABLE BY RATE OF 25%</t>
  </si>
  <si>
    <t xml:space="preserve"> 14. SUBSEQUENT EXEMPTION OF EXPORT TAXATION IN PASSENGER TRAFFIC</t>
  </si>
  <si>
    <t xml:space="preserve">  15. CALCULATED IMPORT VAT</t>
  </si>
  <si>
    <t xml:space="preserve">  1. INPUT TAX FROM INLAND DELIVERIES RECEIVED 5%</t>
  </si>
  <si>
    <t xml:space="preserve">  2. INPUT TAX FROM INLAND DELIVERIES RECEIVED 13%</t>
  </si>
  <si>
    <t xml:space="preserve">  3. INPUT TAX FROM INLAND DELIVERIES RECEIVED 25%</t>
  </si>
  <si>
    <t xml:space="preserve">  5. INPUT TAX FROM ACQUISITION OF GOODS WITHIN THE EU 5%</t>
  </si>
  <si>
    <t xml:space="preserve">  6. INPUT TAX FROM ACQUISITION OF GOODS WITHIN THE EU 13%</t>
  </si>
  <si>
    <t xml:space="preserve">  7. INPUT TAX FROM ACQUISITION OF GOODS WITHIN THE EU 25%</t>
  </si>
  <si>
    <t xml:space="preserve">  8. INPUT TAX FROM SERVICES RECEIVED FROM EU 5%</t>
  </si>
  <si>
    <t xml:space="preserve">  9. INPUT TAX FROM SERVICES RECEIVED FROM EU 13%</t>
  </si>
  <si>
    <t xml:space="preserve">  10. INPUT TAX FROM SERVICES RECEIVED FROM EU 25%</t>
  </si>
  <si>
    <t xml:space="preserve">  11. INPUT TAX FROM DELIVERIES OF GOODS AND SERVICES RECEIVED FROM TAX PAYERS WITHOUT HEADQUARTERS IN CROATIA 5%</t>
  </si>
  <si>
    <t xml:space="preserve">  12. INPUT TAX FROM DELIVERIES OF GOODS AND SERVICES RECEIVED FROM TAX PAYERS WITHOUT HEADQUARTERS IN CROATIA 13%</t>
  </si>
  <si>
    <t xml:space="preserve">  13. INPUT TAX FROM DELIVERIES OF GOODS AND SERVICES RECEIVED FROM TAX PAYERS WITHOUT HEADQUARTERS IN CROATIA 25%</t>
  </si>
  <si>
    <t xml:space="preserve">  14. IMPORT VAT</t>
  </si>
  <si>
    <t xml:space="preserve">  15. INPUT TAX ADJUSTMENTS</t>
  </si>
  <si>
    <t xml:space="preserve"> 11. DELIVERIES OF GOODS AND SERVICES RECEIVED FROM TAX PAYERS WITHOUT HEADQUARTERS IN CROATIA TAXABLE BY A RATE OF 5%</t>
  </si>
  <si>
    <t>Recapitulative statement for the shipment of goods and services to other EU member states                           Month ____01________  Year___2016____________</t>
  </si>
  <si>
    <t>DE</t>
  </si>
  <si>
    <t>HRV</t>
  </si>
  <si>
    <t>ENG</t>
  </si>
  <si>
    <t>INDEKS</t>
  </si>
  <si>
    <t>IRA-001</t>
  </si>
  <si>
    <t>URA-001</t>
  </si>
  <si>
    <t>IRA-002</t>
  </si>
  <si>
    <t>OIB:</t>
  </si>
  <si>
    <t>NKD:</t>
  </si>
  <si>
    <t>Razdoblje:</t>
  </si>
  <si>
    <t>Nadležna PU:</t>
  </si>
  <si>
    <t>JEZIK:</t>
  </si>
  <si>
    <t>NAS-001</t>
  </si>
  <si>
    <t>Adresa:</t>
  </si>
  <si>
    <t>ZUSTÄNDIGES FINANZAMT</t>
  </si>
  <si>
    <t>KLASSIFIKATION GEMÄSS NOMENKLATUR
(TÄTIGKEITS-KENNZIFFER)</t>
  </si>
  <si>
    <t>STEUERNUMMER</t>
  </si>
  <si>
    <t>BESCHREIBUNG</t>
  </si>
  <si>
    <t>Lieferwert
(Betrag in Kuna und Lipa)</t>
  </si>
  <si>
    <t>Steuersatz von 5%,13%, 25% 
(Betrag in Kuna und Lipa)</t>
  </si>
  <si>
    <t>PDV-001</t>
  </si>
  <si>
    <t>NAS-002</t>
  </si>
  <si>
    <t>IRA-003</t>
  </si>
  <si>
    <t>IRA-004</t>
  </si>
  <si>
    <t>IRA-005</t>
  </si>
  <si>
    <t>IRA-006</t>
  </si>
  <si>
    <t>IRA-007</t>
  </si>
  <si>
    <t>IRA-008</t>
  </si>
  <si>
    <t>IRA-009</t>
  </si>
  <si>
    <t>IRA-010</t>
  </si>
  <si>
    <t>IRA-011</t>
  </si>
  <si>
    <t>IRA-012</t>
  </si>
  <si>
    <t>IRA-013</t>
  </si>
  <si>
    <t>IRA-014</t>
  </si>
  <si>
    <t>IRA-015</t>
  </si>
  <si>
    <t>IRA-016</t>
  </si>
  <si>
    <t>IRA-017</t>
  </si>
  <si>
    <t>IRA-018</t>
  </si>
  <si>
    <t>IRA-019</t>
  </si>
  <si>
    <t>IRA-020</t>
  </si>
  <si>
    <t>IRA-021</t>
  </si>
  <si>
    <t>IRA-022</t>
  </si>
  <si>
    <t>IRA-023</t>
  </si>
  <si>
    <t>IRA-024</t>
  </si>
  <si>
    <t>IRA-025</t>
  </si>
  <si>
    <t>IRA-026</t>
  </si>
  <si>
    <t>IRA-027</t>
  </si>
  <si>
    <t>IRA-028</t>
  </si>
  <si>
    <t>IRA-029</t>
  </si>
  <si>
    <t>IRA-030</t>
  </si>
  <si>
    <t>IRA-031</t>
  </si>
  <si>
    <t>IRA-032</t>
  </si>
  <si>
    <t>IRA-033</t>
  </si>
  <si>
    <t>IRA-034</t>
  </si>
  <si>
    <t>IRA-035</t>
  </si>
  <si>
    <t>URA-002</t>
  </si>
  <si>
    <t>URA-003</t>
  </si>
  <si>
    <t>URA-004</t>
  </si>
  <si>
    <t>URA-005</t>
  </si>
  <si>
    <t>URA-006</t>
  </si>
  <si>
    <t>URA-007</t>
  </si>
  <si>
    <t>URA-008</t>
  </si>
  <si>
    <t>URA-009</t>
  </si>
  <si>
    <t>URA-010</t>
  </si>
  <si>
    <t>URA-011</t>
  </si>
  <si>
    <t>URA-012</t>
  </si>
  <si>
    <t>URA-013</t>
  </si>
  <si>
    <t>URA-014</t>
  </si>
  <si>
    <t>URA-015</t>
  </si>
  <si>
    <t>URA-016</t>
  </si>
  <si>
    <t>URA-017</t>
  </si>
  <si>
    <t>URA-018</t>
  </si>
  <si>
    <t>URA-019</t>
  </si>
  <si>
    <t>URA-020</t>
  </si>
  <si>
    <t>URA-021</t>
  </si>
  <si>
    <t>URA-022</t>
  </si>
  <si>
    <t>URA-023</t>
  </si>
  <si>
    <t>URA-024</t>
  </si>
  <si>
    <t>URA-025</t>
  </si>
  <si>
    <t>URA-026</t>
  </si>
  <si>
    <t>URA-027</t>
  </si>
  <si>
    <t>URA-028</t>
  </si>
  <si>
    <t>URA-029</t>
  </si>
  <si>
    <t xml:space="preserve">  3. DELIVERIES OF GOODS AND SERVICES IN CROATIA TAXABLE BY A RATE OF 25%</t>
  </si>
  <si>
    <t xml:space="preserve">  4. DELIVERIES RECEIVED IN RH FOR WHICH VAT IS CALCULATED BY BENEFICIARY (THE RECIPIENT) (INLAND TRANSMISSION OF TAX LIABILITY)</t>
  </si>
  <si>
    <t xml:space="preserve">  4. INPUT TAX FROM RECEIVED DELIVERIES IN CROATIA FOR WHICH VAT IS CALCULATED BY THE BENEFICIARY (THE RECIPIENT) (INLAND TRANSMISSION OF TAX LIABILITY)</t>
  </si>
  <si>
    <t>V. BY PREVIOUS CALCULATION: VAT UNPAID UNTIL SUBMISSION OF THIS CALCULATION - PREPAYMENT - TAX CREDIT</t>
  </si>
  <si>
    <t>PDV-002</t>
  </si>
  <si>
    <t>PDV-003</t>
  </si>
  <si>
    <t>PDV-004</t>
  </si>
  <si>
    <t>PDV-005</t>
  </si>
  <si>
    <t>PDV-006</t>
  </si>
  <si>
    <t>PDV-007</t>
  </si>
  <si>
    <t>PDV-008</t>
  </si>
  <si>
    <t>PDV-009</t>
  </si>
  <si>
    <t>PDV-010</t>
  </si>
  <si>
    <t>PDV-011</t>
  </si>
  <si>
    <t>PDV-012</t>
  </si>
  <si>
    <t>PDV-013</t>
  </si>
  <si>
    <t>PDV-014</t>
  </si>
  <si>
    <t>PDV-015</t>
  </si>
  <si>
    <t>PDV-016</t>
  </si>
  <si>
    <t>PDV-017</t>
  </si>
  <si>
    <t>PDV-018</t>
  </si>
  <si>
    <t>PDV-019</t>
  </si>
  <si>
    <t>PDV-020</t>
  </si>
  <si>
    <t>PDV-021</t>
  </si>
  <si>
    <t>PDV-022</t>
  </si>
  <si>
    <t>PDV-023</t>
  </si>
  <si>
    <t>PDV-024</t>
  </si>
  <si>
    <t>PDV-025</t>
  </si>
  <si>
    <t>PDV-026</t>
  </si>
  <si>
    <t>PDV-027</t>
  </si>
  <si>
    <t>PDV-028</t>
  </si>
  <si>
    <t>PDV-029</t>
  </si>
  <si>
    <t>PDV-030</t>
  </si>
  <si>
    <t>PDV-031</t>
  </si>
  <si>
    <t>PDV-032</t>
  </si>
  <si>
    <t>PDV-033</t>
  </si>
  <si>
    <t>PDV-034</t>
  </si>
  <si>
    <t>PDV-035</t>
  </si>
  <si>
    <t>PDV-036</t>
  </si>
  <si>
    <t>PDV-037</t>
  </si>
  <si>
    <t>PDV-038</t>
  </si>
  <si>
    <t>PDV-039</t>
  </si>
  <si>
    <t>PDV-040</t>
  </si>
  <si>
    <t>PDV-041</t>
  </si>
  <si>
    <t>PDV-042</t>
  </si>
  <si>
    <t>PDV-043</t>
  </si>
  <si>
    <t>PDV-044</t>
  </si>
  <si>
    <t>PDV-045</t>
  </si>
  <si>
    <t>PDV-046</t>
  </si>
  <si>
    <t>PDV-047</t>
  </si>
  <si>
    <t>PDV-048</t>
  </si>
  <si>
    <t>PDV-049</t>
  </si>
  <si>
    <t>PDV-050</t>
  </si>
  <si>
    <t>PDV-051</t>
  </si>
  <si>
    <t>PDV-052</t>
  </si>
  <si>
    <t>PDV-053</t>
  </si>
  <si>
    <t>PDV-054</t>
  </si>
  <si>
    <t>PDV-055</t>
  </si>
  <si>
    <t>PDV-056</t>
  </si>
  <si>
    <t>PDV-057</t>
  </si>
  <si>
    <t>PDV-058</t>
  </si>
  <si>
    <t>PDV-059</t>
  </si>
  <si>
    <t>PDV-060</t>
  </si>
  <si>
    <t>PDV-061</t>
  </si>
  <si>
    <t>PDV-062</t>
  </si>
  <si>
    <t>PDV-063</t>
  </si>
  <si>
    <t>PDV-064</t>
  </si>
  <si>
    <t>ZP-001</t>
  </si>
  <si>
    <t>PDV-S-001</t>
  </si>
  <si>
    <t>ZP-002</t>
  </si>
  <si>
    <t>ZP-003</t>
  </si>
  <si>
    <t>ZP-004</t>
  </si>
  <si>
    <t>ZP-005</t>
  </si>
  <si>
    <t>ZP-006</t>
  </si>
  <si>
    <t>ZP-007</t>
  </si>
  <si>
    <t>ZP-008</t>
  </si>
  <si>
    <t>ZP-009</t>
  </si>
  <si>
    <t>ZP-010</t>
  </si>
  <si>
    <t>ZP-011</t>
  </si>
  <si>
    <t>ZP-012</t>
  </si>
  <si>
    <t>ZP-013</t>
  </si>
  <si>
    <t>ZP-014</t>
  </si>
  <si>
    <t>ZP-015</t>
  </si>
  <si>
    <t>ZP-016</t>
  </si>
  <si>
    <t>ZP-017</t>
  </si>
  <si>
    <t>ZP-018</t>
  </si>
  <si>
    <t>ZP-019</t>
  </si>
  <si>
    <t>ZP-020</t>
  </si>
  <si>
    <t>ZP-021</t>
  </si>
  <si>
    <t>ZP-022</t>
  </si>
  <si>
    <t>ZP-023</t>
  </si>
  <si>
    <t>PDV-S-002</t>
  </si>
  <si>
    <t>PDV-S-003</t>
  </si>
  <si>
    <t>PDV-S-004</t>
  </si>
  <si>
    <t>PDV-S-005</t>
  </si>
  <si>
    <t>PDV-S-006</t>
  </si>
  <si>
    <t>PDV-S-007</t>
  </si>
  <si>
    <t>PDV-S-008</t>
  </si>
  <si>
    <t>PDV-S-009</t>
  </si>
  <si>
    <t>PDV-S-010</t>
  </si>
  <si>
    <t>PDV-S-011</t>
  </si>
  <si>
    <t>PDV-S-012</t>
  </si>
  <si>
    <t>PDV-S-013</t>
  </si>
  <si>
    <t>PDV-S-014</t>
  </si>
  <si>
    <t>PDV-S-015</t>
  </si>
  <si>
    <t>PDV-S-016</t>
  </si>
  <si>
    <t>PDV-S-017</t>
  </si>
  <si>
    <t>PDV-S-018</t>
  </si>
  <si>
    <t>PDV-S-019</t>
  </si>
  <si>
    <t>Obrazac PDV</t>
  </si>
  <si>
    <t>POREZNI OBVEZNIK
(naziv/ime i prezime i adresa: mjesto, ulica i broj)</t>
  </si>
  <si>
    <t>POREZNI ZASTUPNIK
(naziv/ime i prezime i adresa: mjesto, ulica i broj)</t>
  </si>
  <si>
    <t>NADLEŽNA ISPOSTVA POREZNE UPRAVE</t>
  </si>
  <si>
    <t>PDV IDENTIFIKACIJSKI BROJ / OIB</t>
  </si>
  <si>
    <t>PDV IDENTIFIKACIJSKI BROJ POREZNOG ZASTUPNIKA / OIB</t>
  </si>
  <si>
    <t>OPIS</t>
  </si>
  <si>
    <t>POREZNA OSNOVICA (iznos u kunama i lipama)</t>
  </si>
  <si>
    <t>OBRAZAC PDV-S</t>
  </si>
  <si>
    <t>POREZNA UPRAVA PODRUČNI URED</t>
  </si>
  <si>
    <t>ISPOSTAVA</t>
  </si>
  <si>
    <t>PDV IDENTIFIKACIJSKI BROJ</t>
  </si>
  <si>
    <t>Porezni obveznik (Naziv/Ime i prezime)</t>
  </si>
  <si>
    <t>Adresa (mjesto, ulica i broj)</t>
  </si>
  <si>
    <t>PDV identifikacijski broj poreznog zastupnika</t>
  </si>
  <si>
    <t>Red. Br.</t>
  </si>
  <si>
    <t xml:space="preserve">Kȏd države isporučitelja </t>
  </si>
  <si>
    <t>PDV identifikacijski broj isporučitelja (bez kȏda države)</t>
  </si>
  <si>
    <t>Vrijednost stečenih dobara (u kunama i lipama)</t>
  </si>
  <si>
    <t>Vrijednost primljenih usluga (u kunama i lipama)</t>
  </si>
  <si>
    <t>Ukupna vrijednost</t>
  </si>
  <si>
    <t>Potvrđujem istinitost navedenih podataka.</t>
  </si>
  <si>
    <t>Obračun sastavio (ime i prezime)</t>
  </si>
  <si>
    <t>Potpis</t>
  </si>
  <si>
    <t>Broj telefona/fax/e-mail</t>
  </si>
  <si>
    <t>BROJČANA OZNAKA (ŠIFRA) DJELATNOSTI PREMA NACIONALNOJ KLASIFIKACIJI</t>
  </si>
  <si>
    <t>KNJIGA PRIMLJENIH ULAZNIH RAČUNA</t>
  </si>
  <si>
    <t>KNJIGA IZDANIH (IZLAZNIH RAČUNA)</t>
  </si>
  <si>
    <t>NAS-003</t>
  </si>
  <si>
    <t>NAS-004</t>
  </si>
  <si>
    <t>NAS-005</t>
  </si>
  <si>
    <t>NAS-006</t>
  </si>
  <si>
    <t>Address:</t>
  </si>
  <si>
    <t>Period:</t>
  </si>
  <si>
    <t>Tax office:</t>
  </si>
  <si>
    <t>Naziv poduzeća:</t>
  </si>
  <si>
    <t>Firmenname:</t>
  </si>
  <si>
    <t>Company name:</t>
  </si>
  <si>
    <t>TAX OFFICE</t>
  </si>
  <si>
    <t>UVA Formular</t>
  </si>
  <si>
    <t xml:space="preserve">STEUERABRECHNUNG DER ERBRACHTEN LIEFERUNGEN UND DIENSTLEISTUNGEN IM GEGEBENEN ZEITRAUM: INSGESAMT (I + II) </t>
  </si>
  <si>
    <t>I. NICHT STEUERBARE UND BEFREITE TRANSAKTIONEN - INSGESAMT (1+2+3+4+5+6+7+8+9+10)</t>
  </si>
  <si>
    <t xml:space="preserve">1.   LIEFERUNGEN NACH KROATIEN BEI DENEN DER LEISTUNGSEMFÄNGER DIE MEHRWERTSTEUER BERECHNET / INLÄNDISCHER ÜBERGANG DER STEUERSCHULD </t>
  </si>
  <si>
    <t>2.   LIEFERUNGEN VON GÜTERN IN ANDERE MITGLIEDSTAATEN</t>
  </si>
  <si>
    <t>3.   LIEFERUNGEN VON GÜTERN INNERHALB DER EU</t>
  </si>
  <si>
    <t>4.   ERBRACHTE DIENSTLEISTUNGEN INNERHALB DER EU</t>
  </si>
  <si>
    <t xml:space="preserve">5.   ERBRACHTE DIENSTLEISTUNGEN AN PERSONEN OHNE SITZ IN KROATIEN       </t>
  </si>
  <si>
    <t>6.   MONTAGE UND INSTALLATION VON GÜTERN IN EINEM ANDEREN MITGLIEDSTAAT</t>
  </si>
  <si>
    <t xml:space="preserve">7.   LIEFERUNGEN VON NEUEN FAHRZEUGEN IN DIE EU </t>
  </si>
  <si>
    <t xml:space="preserve">8.   INLÄNDISCHE LIEFERUNGEN       </t>
  </si>
  <si>
    <t>9.   AUSFUHR DIENSTLEISTUNGEN</t>
  </si>
  <si>
    <t>10.   SONSTIGE BEFREIUNGEN</t>
  </si>
  <si>
    <t>II. STEUERBARE TRANSAKTIONEN – INSGESAMT 
(1+2+3+4+5+6+7+8+9+10+11+12+13+14+15)</t>
  </si>
  <si>
    <t>1.   LIEFERUNGEN VON GÜTERN UND DIENSTLEISTUNGEN IN KROATIEN 
ZUM STEUERSATZ VON 5%</t>
  </si>
  <si>
    <t>2.   LIEFERUNGEN VON GÜTERN UND DIENSTLEISTUNGEN IN KROATIEN 
ZUM STEUERSATZ VON  13%</t>
  </si>
  <si>
    <t>3.   LIEFERUNGEN VON GÜTERN UND DIENSTLEISTUNGEN IN KROATIEN 
ZUM STEUERSATZ VON   25%</t>
  </si>
  <si>
    <t xml:space="preserve">4.  EMPFANGENE LIEFERUNGEN IN KROATIEN BEI DENEN DIE MEHRWERTSTEUER DER EMFÄNGER ABRECHNET (INLÄNDISCHER ÜBERGANG DER STEUERSCHULD) </t>
  </si>
  <si>
    <t>5. ERWERB VON GÜTERN INNERHALB DER EU ZUM STEUERSATZ VON  5%</t>
  </si>
  <si>
    <t>6.  ERWERB VON GÜTERN INNERHALB DER EU ZUM STEUERSATZ VON  13%</t>
  </si>
  <si>
    <t>7.  ERWERB VON GÜTERN INNERHALB DER EU ZUM STEUERSATZ VON  25%</t>
  </si>
  <si>
    <t>8.  EMPFANGENE DIENSTLEISTUNGEN AUS DER EU ZUM STEUERSATZ VON  5%</t>
  </si>
  <si>
    <t>9. EMPFANGENE DIENSTLEISTUNGEN AUS DER EU ZUM STEUERSATZ VON 13%</t>
  </si>
  <si>
    <t>10.  EMPFANGENE DIENSTLEISTUNGEN AUS DER EU ZUM STEUERSATZ VON 25%</t>
  </si>
  <si>
    <t>11. EMPFANGENE LIEFERUNGEN VON GÜTERN UND DIENSTLEISTUNGEN VON STEUERPFLICHTIGEN OHNE SITZ IN KROATIEN ZUM STEUERSATZ VON 5%</t>
  </si>
  <si>
    <t>12. EMPFANGENE LIEFERUNGEN VON GÜTERN UND DIENSTLEISTUNGEN VON STEUERPFLICHTIGEN OHNE SITZ IN KROATIEN ZUM STEUERSATZ VON 13%</t>
  </si>
  <si>
    <t>13. EMPFANGENE LIEFERUNGEN VON GÜTERN UND DIENSTLEISTUNGEN VON STEUERPFLICHTIGEN OHNE SITZ IN KROATIEN ZUM STEUERSATZ VON  25%</t>
  </si>
  <si>
    <t xml:space="preserve">14. NACHTRÄ'GLICHE BEFREIUNG DER AUSFUHR IM RAHMEN DES PERSONENVERKEHRS </t>
  </si>
  <si>
    <t>15. ABGERECHNETE EINFUHRUMSATZSTEUER</t>
  </si>
  <si>
    <t xml:space="preserve">III. ABGERECHNETE VORSTEUER - INSGESAMT (1+2+3+4+ 5 + 6+7+8+9+10+11+12+13+14+15) </t>
  </si>
  <si>
    <t>1. VORSTEUER AUS EMPFANGENEN LIEFERUNGEN IM INLAND 
ZUM STEUERSAZ VON 5%</t>
  </si>
  <si>
    <t>2. VORSTEUER AUS EMPFANGENEN LIEFERUNGEN IM INLAND 
ZUM STEUERSATZ VON 13%</t>
  </si>
  <si>
    <t>3. VORSTEUER AUS EMPFANGENEN LIEFERUNGEN IM INLAND 
ZUM STEUERSAT*Z VON 25%</t>
  </si>
  <si>
    <t xml:space="preserve">4. VORSTEUER AUS EMPFANGENEN LIEFERUNGEN IN KROATIEN BEI DENEN DIE MEHRWERTSTEUER VOM EMFÄNGER ABGERECHENT WIRD / INLÄNDISCHER ÜBERGANG DER STEUERSCHULD  </t>
  </si>
  <si>
    <t>5. VORSTEUER AUS DEM ERWERB VON GÜTERN INNERHALB DER EU 
ZUM STEUERSATZ VON 5%</t>
  </si>
  <si>
    <t>6. VORSTEUER AUS DEM ERWERB VON GÜTERN INNERHALB DER EU ZUM STEUERSATZ VON 13%</t>
  </si>
  <si>
    <t>7. VORSTEUER AUS DEM ERWERB VON GÜTERN INNERHALB DER EU 
ZUM STEUERSATZ VON 25%</t>
  </si>
  <si>
    <t>8. VORSTEUER AUS DEM EMPFANG VON DIENSTLEISTUNGEN AUS DER EU 
ZUM STEUERSATZ VON 5%</t>
  </si>
  <si>
    <t>9. VORSTEUER AUS DEM EMPFANG VON DIENSTLEISTUNGEN AUS DER EU 
ZUM STEUERSATZ VON 13%</t>
  </si>
  <si>
    <t>10. VORSTEUER AUS DEM EMPFANG VON DIENSTLEISTUNGEN AUS DER EU 
ZUM STEUERSATZ VON 25%</t>
  </si>
  <si>
    <t>11. VORSTEUER AUS EMPFANGENEN LIEFERUNGEN VON GÜTERN UND DIENSTLEISTUNGEN VON STEUERPFLICHTIGEN OHNE SITZ IN KROATIEN 
ZUM STEUERSATZ VON 5%</t>
  </si>
  <si>
    <t>12. VORSTEUER AUS EMPFANGENEN LIEFERUNGEN VON GÜTERN UND DIENSTLEISTUNGEN VON STEUERPFLICHTIGEN OHNE SITZ IN KROATIEN 
ZUM STEUERSATZ VON 13%</t>
  </si>
  <si>
    <t>13. VORSTEUER AUS EMPFANGENEN LIEFERUNGEN VON GÜTERN UND DIENSTLEISTUNGEN VON STEUERPFLICHTIGEN OHNE SITZ IN KROATIEN
 ZUM STEUERSATZ VON 25%</t>
  </si>
  <si>
    <t>14. VORSTEUER BEI DER EINFUHR</t>
  </si>
  <si>
    <t>15. BERICHTIGUNG VORSTEUER</t>
  </si>
  <si>
    <t xml:space="preserve">IV. VERBINDLICHKEIT FÜR DEN STEUERZEITRAUM: FÜR DIE EINZAHLUNG (II.-III.) ODER ZUR RÜCKERSTATTUNG (III.-II.) DER UMSATZSTEUER IM ABRECHNUNGSZEITRAUM             </t>
  </si>
  <si>
    <t xml:space="preserve">V. NICHT EINGEZAHLTE UMSATZSTEUER BIS ZUR ABGABE DER ANMELDUNG - MEHR EINGEZAHLT - STEUERKREDIT     </t>
  </si>
  <si>
    <t xml:space="preserve">VI. INSGESAMT DIFFERENZ: FÜR EINZAHLUNG / FÜR RÜCKERSTATTUNG </t>
  </si>
  <si>
    <t>VII. JÄHRLICHER PROPORTIONALER VORSTEUERERSTATTUNGSBETRA (%)</t>
  </si>
  <si>
    <t>Adresse:</t>
  </si>
  <si>
    <t>STEUERNUMMER (UID):</t>
  </si>
  <si>
    <t>NAS-007</t>
  </si>
  <si>
    <t>NAS-008</t>
  </si>
  <si>
    <t>NAS-009</t>
  </si>
  <si>
    <t>Zeitraum:</t>
  </si>
  <si>
    <t>Zuständiges Finanzamt:</t>
  </si>
  <si>
    <t>od:</t>
  </si>
  <si>
    <t>do:</t>
  </si>
  <si>
    <t>godina:</t>
  </si>
  <si>
    <t>von:</t>
  </si>
  <si>
    <t>bis:</t>
  </si>
  <si>
    <t>Jahr:</t>
  </si>
  <si>
    <t>from:</t>
  </si>
  <si>
    <t>until:</t>
  </si>
  <si>
    <t>year:</t>
  </si>
  <si>
    <t>URA-030</t>
  </si>
  <si>
    <t>UKUPNO</t>
  </si>
  <si>
    <t xml:space="preserve">TOTAL </t>
  </si>
  <si>
    <t>STEUERPFLICHTIGER: NAME / NACHNAME</t>
  </si>
  <si>
    <t>ADRESSE: ORT, STRASSE UND HAUSNUMMER</t>
  </si>
  <si>
    <t>BETRAG IN KUNA UND LIPA</t>
  </si>
  <si>
    <t xml:space="preserve">NUMMER </t>
  </si>
  <si>
    <t>RECHNUNG</t>
  </si>
  <si>
    <t>DATUM</t>
  </si>
  <si>
    <t>KUNDE (EMPFÄNGER VON GÜTERN ODER DIENSTLEISTUNGEN)</t>
  </si>
  <si>
    <t>TITEL - NAME UND NACHNAME, GESCHÄFTSSITZ / SITZORT</t>
  </si>
  <si>
    <t>STEUERNUMMER (UID)</t>
  </si>
  <si>
    <t>BETRAG (inklusive Mehrwertsteuern)</t>
  </si>
  <si>
    <t xml:space="preserve">STEUER- UND MEHRWERTSTERERFREIE ERTRÄGE </t>
  </si>
  <si>
    <t>INLAND ÜBERTRAGUNG DER STEUERPFLICHT</t>
  </si>
  <si>
    <t>LIEFERUNG VON GÜTERN IN ANDERE EU MITGLIEDSTAATEN</t>
  </si>
  <si>
    <t>LIEFERUNG VON GÜTERN INNERHALB DER EU</t>
  </si>
  <si>
    <t>IM INLAND</t>
  </si>
  <si>
    <t>EXPORTLIEFERUNG</t>
  </si>
  <si>
    <t>SONSTIGE STEUERBEFREIUNGEN</t>
  </si>
  <si>
    <t xml:space="preserve">STEUERPFLICHTIG </t>
  </si>
  <si>
    <t>STEUER</t>
  </si>
  <si>
    <t xml:space="preserve">ORDNUNGSNUMMER </t>
  </si>
  <si>
    <t>TOTAL</t>
  </si>
  <si>
    <t>STEUERBEFREIUNGEN / ABZUGSFÄHIG</t>
  </si>
  <si>
    <t>ABZUGSFÄHIG</t>
  </si>
  <si>
    <t>NICHT ABZUGSFÄHIG</t>
  </si>
  <si>
    <t xml:space="preserve">NUMMERIERUNG GEMÄSS DEM NATIONALEN KLASSIFIZIERUNGSSYSTEM  </t>
  </si>
  <si>
    <t>LIEFERWERT</t>
  </si>
  <si>
    <t xml:space="preserve">ERBRACHTE DIENSTLEISTUNGEN AN PERSONEN OHNE SITZ IN KROATIEN   </t>
  </si>
  <si>
    <t>ERBRACHTE DIENSTLEISTUNGEN INNERHALB DER EU</t>
  </si>
  <si>
    <t>MONTAGE UND INSTALLATION VON GÜTERN IN EINEM ANDEREN EU MITGLIEDSTAAT</t>
  </si>
  <si>
    <t>STEUERNUMMER (UID)   (3)</t>
  </si>
  <si>
    <t>STEUERPFLICHTIGER  (Titel / Name und Nachname)      (4)</t>
  </si>
  <si>
    <t>Adresse (Ort, Strasse und Hausnummer)    (5)</t>
  </si>
  <si>
    <t>Ordnungsnummer (8)</t>
  </si>
  <si>
    <t>Gesamtwert</t>
  </si>
  <si>
    <t>Hiermit bestätige ich die Richtigkeit der genannten Daten</t>
  </si>
  <si>
    <t>Unterschrift    (20)</t>
  </si>
  <si>
    <t>Berechnung verfasst von (Name und Nachname)  (19)</t>
  </si>
  <si>
    <t>Steuernummer UID des Empfängers (ohne Landesvorwahl)   (10)</t>
  </si>
  <si>
    <t>Wert der Güterlieferung (in Kuna und Lipa)    (11)</t>
  </si>
  <si>
    <t>Wert der Güterlieferung unter dem Verfahren 42 und 63 (in Kuna und Lipa)   (12)</t>
  </si>
  <si>
    <t>Wert der erbrachten Dienstleistungen (in Kuna und Lipa)  (14)</t>
  </si>
  <si>
    <t>Telefonnummer / Fax /E-Mail  (21)</t>
  </si>
  <si>
    <t>STEUERNUMMER (UID) (3)</t>
  </si>
  <si>
    <t>Adresse (Ort, Strasse und Hausnummer)  (5)</t>
  </si>
  <si>
    <t>Ordnugsnummer  (8)</t>
  </si>
  <si>
    <t>Wert der erworbenen Güter (in Kuna und Lipa)  (11)</t>
  </si>
  <si>
    <t>Wert der erhaltenen Dienstleistungen (in Kuna und Lipa)  (12)</t>
  </si>
  <si>
    <t>Berechnung verfasst von (Name und Nachname)  (15)</t>
  </si>
  <si>
    <t>Unterschrift     (16)</t>
  </si>
  <si>
    <t>Telefonnummer / Fax /E-Mail  (17)</t>
  </si>
  <si>
    <t>Steuernummer UID der Lieferanten (ohne Landesvorwahl)  (10)</t>
  </si>
  <si>
    <t>Steuerpflichtiger (Titel/Name und Nachname)  (4)</t>
  </si>
  <si>
    <t>Zusammenfassende Meldung IG Lieferung</t>
  </si>
  <si>
    <t xml:space="preserve">Zusammenfassende Meldung für die Lieferungen von Gütern und Dienstleistungen in andere EU Mitgliedstaten </t>
  </si>
  <si>
    <t>FORMULAR ZM</t>
  </si>
  <si>
    <t>ZUSTÄNDIGES FINANZAMT - REGIONALBÜRO (1)</t>
  </si>
  <si>
    <t>STEUERPFLICHTIGER: TITEL /NAME UND NACHNAME</t>
  </si>
  <si>
    <t>NUMMERIERUNG GEMÄSS DEM NATIONALEN KLASSIFIZIERUNGSSYSTEM</t>
  </si>
  <si>
    <t>AUSGANGSRECHNUNGSBUCH</t>
  </si>
  <si>
    <t>TITEL - NAME UND NACHNAME UND GESCHÄFTSSITZ / SITZORT</t>
  </si>
  <si>
    <t>LIEFERUNG NEUER TRANSPORTMITTEL (NTM) IN DIE EU</t>
  </si>
  <si>
    <t>EINGANGSRECHNUNGBUCH</t>
  </si>
  <si>
    <t>LIEFERANT (ANBIETER VON WAREN UND DIENSTLEISTUNGEN)</t>
  </si>
  <si>
    <t>STEUERPFLICHTIGER (VOR- /NACHNAME UND ADRESSE: Ort, Strasse und Hausnummer)</t>
  </si>
  <si>
    <t>STEUERLICHER VERTRETER
 (VOR- /NACHNAME UND ADRESSE:Ort, Strasse und Hausnummer)</t>
  </si>
  <si>
    <t>GESAMTBETRAG DER RECHNUNG INKLUSIVE MwST.</t>
  </si>
  <si>
    <t>ZUSTÄNDIGES FINANZAMT - STEUERVERWALTUNG (1)</t>
  </si>
  <si>
    <t>REGIONALBÜRO  (2)</t>
  </si>
  <si>
    <t>Landescode (9)</t>
  </si>
  <si>
    <t>Landescode  (9)</t>
  </si>
  <si>
    <t xml:space="preserve">Aussenstelle </t>
  </si>
  <si>
    <t>Steuernummer UID des Steuervertreters   (6)</t>
  </si>
  <si>
    <t xml:space="preserve">Steuernummer UID des Steuervertreters </t>
  </si>
  <si>
    <t>Anmeldung für den Erwerb von Gütern und erhaltene Dienstleistungen aus anderen EU Mitgliedsstaaten für den Monat_____ Jahr</t>
  </si>
  <si>
    <t>Wert der Güterlieferung im Rahmen des Dreiecksgeschäft  (in Kuna und Lipa)   (13)</t>
  </si>
  <si>
    <t>URIC-001</t>
  </si>
  <si>
    <t>URIC-002</t>
  </si>
  <si>
    <t>URIC-003</t>
  </si>
  <si>
    <t>URIC-004</t>
  </si>
  <si>
    <t>URIC-005</t>
  </si>
  <si>
    <t>URIC-006</t>
  </si>
  <si>
    <t>URIC-007</t>
  </si>
  <si>
    <t>URIC-008</t>
  </si>
  <si>
    <t>URIC-009</t>
  </si>
  <si>
    <t>URIC-010</t>
  </si>
  <si>
    <t>URIC-011</t>
  </si>
  <si>
    <t>URIC-012</t>
  </si>
  <si>
    <t>URIC-013</t>
  </si>
  <si>
    <t>URIC-014</t>
  </si>
  <si>
    <t>URIC-015</t>
  </si>
  <si>
    <t>URIC-016</t>
  </si>
  <si>
    <t>URIC-017</t>
  </si>
  <si>
    <t>URIC-018</t>
  </si>
  <si>
    <t>URIC-019</t>
  </si>
  <si>
    <t>URIC-020</t>
  </si>
  <si>
    <t>URIC-021</t>
  </si>
  <si>
    <t>URIC-022</t>
  </si>
  <si>
    <t>URIC-023</t>
  </si>
  <si>
    <t>URIC-024</t>
  </si>
  <si>
    <t>URIC-025</t>
  </si>
  <si>
    <t>URIC-026</t>
  </si>
  <si>
    <t>URIC-027</t>
  </si>
  <si>
    <t>URIC-028</t>
  </si>
  <si>
    <t>URIC-029</t>
  </si>
  <si>
    <t>URIC-030</t>
  </si>
  <si>
    <t>KNJIGA PRIMLJENIH ULAZNIH RAČUNA - STJECANJE IZ EU</t>
  </si>
  <si>
    <t>EINGANGSRECHNUNGBUCH - IG ERWERB</t>
  </si>
  <si>
    <t>LEDGER OF INCOMING INVOICES - IC ACQUISITION</t>
  </si>
  <si>
    <t>URA75-001</t>
  </si>
  <si>
    <t>URA75-002</t>
  </si>
  <si>
    <t>URA75-003</t>
  </si>
  <si>
    <t>URA75-004</t>
  </si>
  <si>
    <t>URA75-005</t>
  </si>
  <si>
    <t>URA75-006</t>
  </si>
  <si>
    <t>URA75-007</t>
  </si>
  <si>
    <t>URA75-008</t>
  </si>
  <si>
    <t>URA75-009</t>
  </si>
  <si>
    <t>URA75-010</t>
  </si>
  <si>
    <t>URA75-011</t>
  </si>
  <si>
    <t>URA75-012</t>
  </si>
  <si>
    <t>URA75-013</t>
  </si>
  <si>
    <t>URA75-014</t>
  </si>
  <si>
    <t>URA75-015</t>
  </si>
  <si>
    <t>URA75-016</t>
  </si>
  <si>
    <t>URA75-017</t>
  </si>
  <si>
    <t>URA75-018</t>
  </si>
  <si>
    <t>URA75-019</t>
  </si>
  <si>
    <t>URA75-020</t>
  </si>
  <si>
    <t>URA75-021</t>
  </si>
  <si>
    <t>URA75-022</t>
  </si>
  <si>
    <t>URA75-023</t>
  </si>
  <si>
    <t>URA75-024</t>
  </si>
  <si>
    <t>URA75-025</t>
  </si>
  <si>
    <t>URA75-026</t>
  </si>
  <si>
    <t>URA75-027</t>
  </si>
  <si>
    <t>URA75-028</t>
  </si>
  <si>
    <t>URA75-029</t>
  </si>
  <si>
    <t>URA75-030</t>
  </si>
  <si>
    <t>KNJIGA PRIMLJENIH ULAZNIH RAČUNA - čl. 75(2)</t>
  </si>
  <si>
    <t>EINGANGSRECHNUNGBUCH - Art 75(2)</t>
  </si>
  <si>
    <t>LEDGER OF INCOMING INVOICES - Art 75(2)</t>
  </si>
  <si>
    <t>0,00 HRK</t>
  </si>
  <si>
    <t>PODGORSKI-BOČEK IVAN</t>
  </si>
  <si>
    <t>ivan.podgorski-bocek@leitnerleitner.com</t>
  </si>
  <si>
    <t>Zagreb</t>
  </si>
  <si>
    <t>Maksimir</t>
  </si>
  <si>
    <t>Berechnung verfasst von (Name und Nachname)</t>
  </si>
  <si>
    <t>Unterschrift</t>
  </si>
  <si>
    <t>Telefonnummer / Fax /E-Mail</t>
  </si>
  <si>
    <t>Zagreb, Odjel za strane porezne obveznike</t>
  </si>
  <si>
    <t>INO-PPO</t>
  </si>
  <si>
    <t>Prijava za stjecanje dobara i primljene usluge iz drugih država članica Europske unije    Za mjesec 06 godina 2017</t>
  </si>
  <si>
    <t>Ukupno:</t>
  </si>
  <si>
    <t>Ukupno</t>
  </si>
  <si>
    <t>06/2020</t>
  </si>
  <si>
    <t>EUR</t>
  </si>
  <si>
    <t>Markus Renz</t>
  </si>
  <si>
    <t>Am Sonnblick 6, Lichtenau</t>
  </si>
  <si>
    <t>HR6411581446</t>
  </si>
  <si>
    <t>01.07.</t>
  </si>
  <si>
    <t>31.07.</t>
  </si>
  <si>
    <t>Crno Vrilo d.o.o.</t>
  </si>
  <si>
    <t>Vegium d.o.o.</t>
  </si>
  <si>
    <t>LeitnerLeitner Consulting d.o.o.</t>
  </si>
  <si>
    <t>Nr. Pdf</t>
  </si>
  <si>
    <t>7/2020</t>
  </si>
  <si>
    <t>DAN</t>
  </si>
  <si>
    <t>tečaj</t>
  </si>
  <si>
    <t>Heinzelova 70, 10000 Zagreb</t>
  </si>
  <si>
    <t>Obala V. Nazora 7, 53288 Karlobag</t>
  </si>
  <si>
    <t>Nicht anerkannt</t>
  </si>
  <si>
    <t>NL805734958B01</t>
  </si>
  <si>
    <t>HRK</t>
  </si>
  <si>
    <t>Datum</t>
  </si>
  <si>
    <t>Nicht anerkannte Rechnungen</t>
  </si>
  <si>
    <t>Belegnr. Im PDF</t>
  </si>
  <si>
    <t>Lieferant</t>
  </si>
  <si>
    <t>Begrüdung</t>
  </si>
  <si>
    <t>Dienstleistung</t>
  </si>
  <si>
    <t>Notwendig für PDV-S</t>
  </si>
  <si>
    <t>Wechselkurs</t>
  </si>
  <si>
    <t>Ware oder Dienstleistung</t>
  </si>
  <si>
    <t>PDF-file:</t>
  </si>
  <si>
    <t>Ulica grada Vukovara 37, Zagreb</t>
  </si>
  <si>
    <t>Obala V. Nazora 7/1, 53288 Karlobag</t>
  </si>
  <si>
    <t>799713-631-600</t>
  </si>
  <si>
    <t>Elektra d.o.o.</t>
  </si>
  <si>
    <t>Lagerhaus Zwettl</t>
  </si>
  <si>
    <t>Pater Werner Deibl Str. 7, 3910 Zwettl</t>
  </si>
  <si>
    <t>ATU 16319106</t>
  </si>
  <si>
    <t>Parketi Max Interijeri</t>
  </si>
  <si>
    <t>2203277404-220820-9</t>
  </si>
  <si>
    <t>2203277517-220820-0</t>
  </si>
  <si>
    <t>2203277403-220820-6</t>
  </si>
  <si>
    <t>2203282605-220820-2</t>
  </si>
  <si>
    <t>18902-11222</t>
  </si>
  <si>
    <t>18929-11221</t>
  </si>
  <si>
    <t>18902-10226</t>
  </si>
  <si>
    <t>2697-LLC-360</t>
  </si>
  <si>
    <t>2203282605-220921-7</t>
  </si>
  <si>
    <t>2203277517-220920-6</t>
  </si>
  <si>
    <t>2203277404-220921-3</t>
  </si>
  <si>
    <t>2203277403-220921-0</t>
  </si>
  <si>
    <t>2203277517-221021-2</t>
  </si>
  <si>
    <t>2203282605-221020-7</t>
  </si>
  <si>
    <t>2203277403-221020-0</t>
  </si>
  <si>
    <t>2203277404-221020-3</t>
  </si>
  <si>
    <t>39509-021-6</t>
  </si>
  <si>
    <t>IKEA Hrvatska d.o.o.</t>
  </si>
  <si>
    <t>Ul.Alfreda Nobela 2, Sop 10361</t>
  </si>
  <si>
    <t>ASCI Electro Sevice GmbH</t>
  </si>
  <si>
    <t>Schachtweg 57, 31036 Eime</t>
  </si>
  <si>
    <t>DE157768601</t>
  </si>
  <si>
    <t>92/PJ1/1</t>
  </si>
  <si>
    <t>Graberije 119, 10090 Zagreb</t>
  </si>
  <si>
    <t>2986-LLC-360</t>
  </si>
  <si>
    <t>18902-12229</t>
  </si>
  <si>
    <t>18910-12223</t>
  </si>
  <si>
    <t>18929-12228</t>
  </si>
  <si>
    <t>2203277403-221120-7</t>
  </si>
  <si>
    <t>2203277404-221120-0</t>
  </si>
  <si>
    <t>2203277517-221120-0</t>
  </si>
  <si>
    <t>2203282605-221120-3</t>
  </si>
  <si>
    <t>18910-1237</t>
  </si>
  <si>
    <t>18929-1230</t>
  </si>
  <si>
    <t>18902-1233</t>
  </si>
  <si>
    <t>3278-LLC-360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</si>
</sst>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\ &quot;kn&quot;"/>
  </numFmts>
  <fonts count="22" x14ac:knownFonts="1"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 tint="0.34998626667073579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rgb="FF000000"/>
      <name val="Tahoma"/>
      <family val="2"/>
      <charset val="238"/>
    </font>
    <font>
      <b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u/>
      <sz val="10"/>
      <color theme="10"/>
      <name val="Verdana"/>
      <family val="2"/>
      <charset val="238"/>
    </font>
    <font>
      <b/>
      <sz val="16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Verdana"/>
      <family val="2"/>
      <charset val="238"/>
    </font>
    <font>
      <b/>
      <sz val="10"/>
      <color theme="1"/>
      <name val="Verdana"/>
      <family val="2"/>
    </font>
    <font>
      <sz val="9"/>
      <color rgb="FF484C50"/>
      <name val="Arial"/>
      <family val="2"/>
    </font>
    <font>
      <sz val="8.75"/>
      <color rgb="FF484C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/>
    <xf numFmtId="0" fontId="5" fillId="0" borderId="0"/>
    <xf numFmtId="0" fontId="8" fillId="4" borderId="0">
      <alignment horizontal="left" vertical="top"/>
    </xf>
    <xf numFmtId="0" fontId="11" fillId="0" borderId="0" applyNumberFormat="0" applyFill="0" applyBorder="0" applyAlignment="0" applyProtection="0"/>
    <xf numFmtId="0" fontId="16" fillId="0" borderId="0"/>
    <xf numFmtId="43" fontId="5" fillId="0" borderId="0" applyFont="0" applyFill="0" applyBorder="0" applyAlignment="0" applyProtection="0"/>
    <xf numFmtId="0" fontId="1" fillId="0" borderId="0"/>
  </cellStyleXfs>
  <cellXfs count="34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0" xfId="0" applyFont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vertical="top" wrapText="1"/>
    </xf>
    <xf numFmtId="0" fontId="0" fillId="0" borderId="19" xfId="0" applyBorder="1"/>
    <xf numFmtId="0" fontId="0" fillId="0" borderId="21" xfId="0" applyBorder="1"/>
    <xf numFmtId="0" fontId="0" fillId="0" borderId="22" xfId="0" applyBorder="1" applyAlignment="1">
      <alignment horizontal="center" wrapText="1"/>
    </xf>
    <xf numFmtId="0" fontId="0" fillId="0" borderId="24" xfId="0" applyBorder="1"/>
    <xf numFmtId="0" fontId="2" fillId="0" borderId="20" xfId="0" applyFont="1" applyBorder="1" applyAlignment="1">
      <alignment vertical="center" wrapText="1"/>
    </xf>
    <xf numFmtId="0" fontId="2" fillId="0" borderId="18" xfId="0" applyFont="1" applyBorder="1" applyAlignment="1">
      <alignment wrapText="1"/>
    </xf>
    <xf numFmtId="0" fontId="0" fillId="0" borderId="28" xfId="0" applyBorder="1"/>
    <xf numFmtId="0" fontId="2" fillId="0" borderId="16" xfId="0" applyFont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vertical="top" wrapText="1"/>
    </xf>
    <xf numFmtId="0" fontId="2" fillId="0" borderId="18" xfId="0" applyFont="1" applyBorder="1"/>
    <xf numFmtId="0" fontId="2" fillId="0" borderId="19" xfId="0" applyFont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" fontId="2" fillId="0" borderId="12" xfId="2" applyNumberFormat="1" applyFont="1" applyBorder="1"/>
    <xf numFmtId="4" fontId="2" fillId="0" borderId="1" xfId="2" applyNumberFormat="1" applyFont="1" applyBorder="1" applyAlignment="1">
      <alignment horizontal="right"/>
    </xf>
    <xf numFmtId="4" fontId="2" fillId="0" borderId="17" xfId="2" applyNumberFormat="1" applyFont="1" applyBorder="1" applyAlignment="1">
      <alignment horizontal="right"/>
    </xf>
    <xf numFmtId="4" fontId="0" fillId="0" borderId="1" xfId="0" applyNumberForma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4" fillId="0" borderId="18" xfId="0" applyFont="1" applyBorder="1" applyAlignment="1">
      <alignment wrapText="1"/>
    </xf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Fill="1" applyBorder="1"/>
    <xf numFmtId="17" fontId="0" fillId="0" borderId="0" xfId="0" applyNumberFormat="1"/>
    <xf numFmtId="2" fontId="0" fillId="0" borderId="0" xfId="0" applyNumberFormat="1"/>
    <xf numFmtId="0" fontId="0" fillId="0" borderId="10" xfId="0" applyBorder="1" applyAlignment="1">
      <alignment horizontal="center" vertical="center"/>
    </xf>
    <xf numFmtId="2" fontId="0" fillId="0" borderId="1" xfId="0" applyNumberFormat="1" applyFill="1" applyBorder="1"/>
    <xf numFmtId="2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4" fontId="0" fillId="0" borderId="1" xfId="0" applyNumberFormat="1" applyBorder="1"/>
    <xf numFmtId="17" fontId="2" fillId="0" borderId="0" xfId="0" applyNumberFormat="1" applyFont="1"/>
    <xf numFmtId="14" fontId="0" fillId="0" borderId="1" xfId="0" applyNumberFormat="1" applyBorder="1" applyAlignment="1">
      <alignment horizontal="center"/>
    </xf>
    <xf numFmtId="0" fontId="0" fillId="3" borderId="0" xfId="0" applyFill="1"/>
    <xf numFmtId="9" fontId="0" fillId="0" borderId="0" xfId="0" applyNumberFormat="1"/>
    <xf numFmtId="0" fontId="0" fillId="0" borderId="0" xfId="0" applyAlignment="1"/>
    <xf numFmtId="0" fontId="7" fillId="0" borderId="0" xfId="0" applyFont="1" applyAlignment="1"/>
    <xf numFmtId="49" fontId="0" fillId="0" borderId="0" xfId="0" applyNumberFormat="1"/>
    <xf numFmtId="0" fontId="2" fillId="3" borderId="0" xfId="0" applyFont="1" applyFill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16" fontId="0" fillId="0" borderId="0" xfId="0" applyNumberFormat="1"/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/>
    <xf numFmtId="4" fontId="2" fillId="0" borderId="35" xfId="2" applyNumberFormat="1" applyFont="1" applyBorder="1"/>
    <xf numFmtId="4" fontId="0" fillId="0" borderId="36" xfId="0" applyNumberFormat="1" applyFill="1" applyBorder="1" applyAlignment="1">
      <alignment horizontal="right"/>
    </xf>
    <xf numFmtId="4" fontId="0" fillId="0" borderId="36" xfId="0" applyNumberFormat="1" applyBorder="1"/>
    <xf numFmtId="4" fontId="2" fillId="0" borderId="35" xfId="0" applyNumberFormat="1" applyFont="1" applyBorder="1"/>
    <xf numFmtId="0" fontId="3" fillId="2" borderId="37" xfId="0" applyFont="1" applyFill="1" applyBorder="1"/>
    <xf numFmtId="0" fontId="11" fillId="0" borderId="1" xfId="4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4" fillId="0" borderId="1" xfId="0" applyFont="1" applyBorder="1"/>
    <xf numFmtId="0" fontId="17" fillId="0" borderId="39" xfId="0" applyNumberFormat="1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0" fontId="0" fillId="0" borderId="8" xfId="0" applyBorder="1"/>
    <xf numFmtId="0" fontId="4" fillId="0" borderId="38" xfId="0" applyNumberFormat="1" applyFont="1" applyFill="1" applyBorder="1" applyAlignment="1">
      <alignment horizontal="center" vertical="center"/>
    </xf>
    <xf numFmtId="14" fontId="4" fillId="0" borderId="38" xfId="0" applyNumberFormat="1" applyFont="1" applyFill="1" applyBorder="1" applyAlignment="1">
      <alignment horizontal="center" vertical="center"/>
    </xf>
    <xf numFmtId="0" fontId="4" fillId="0" borderId="39" xfId="0" applyNumberFormat="1" applyFont="1" applyFill="1" applyBorder="1" applyAlignment="1">
      <alignment vertical="center"/>
    </xf>
    <xf numFmtId="4" fontId="4" fillId="0" borderId="39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Fill="1" applyBorder="1"/>
    <xf numFmtId="2" fontId="0" fillId="0" borderId="1" xfId="0" applyNumberFormat="1" applyFont="1" applyFill="1" applyBorder="1"/>
    <xf numFmtId="0" fontId="4" fillId="0" borderId="1" xfId="0" applyNumberFormat="1" applyFont="1" applyFill="1" applyBorder="1" applyAlignment="1">
      <alignment vertical="center"/>
    </xf>
    <xf numFmtId="4" fontId="4" fillId="0" borderId="40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41" xfId="0" applyNumberFormat="1" applyFont="1" applyFill="1" applyBorder="1" applyAlignment="1">
      <alignment vertical="center"/>
    </xf>
    <xf numFmtId="4" fontId="4" fillId="0" borderId="41" xfId="0" applyNumberFormat="1" applyFont="1" applyFill="1" applyBorder="1" applyAlignment="1">
      <alignment vertical="center"/>
    </xf>
    <xf numFmtId="0" fontId="17" fillId="0" borderId="41" xfId="0" applyNumberFormat="1" applyFont="1" applyFill="1" applyBorder="1" applyAlignment="1">
      <alignment vertical="center"/>
    </xf>
    <xf numFmtId="0" fontId="17" fillId="0" borderId="1" xfId="0" applyNumberFormat="1" applyFont="1" applyFill="1" applyBorder="1" applyAlignment="1">
      <alignment vertical="center"/>
    </xf>
    <xf numFmtId="4" fontId="2" fillId="0" borderId="0" xfId="0" applyNumberFormat="1" applyFont="1"/>
    <xf numFmtId="0" fontId="4" fillId="0" borderId="42" xfId="0" applyNumberFormat="1" applyFont="1" applyFill="1" applyBorder="1" applyAlignment="1">
      <alignment vertical="center"/>
    </xf>
    <xf numFmtId="0" fontId="4" fillId="0" borderId="39" xfId="0" applyNumberFormat="1" applyFont="1" applyFill="1" applyBorder="1" applyAlignment="1">
      <alignment horizontal="center" vertical="center"/>
    </xf>
    <xf numFmtId="49" fontId="4" fillId="0" borderId="4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43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 applyAlignment="1">
      <alignment vertical="center"/>
    </xf>
    <xf numFmtId="0" fontId="17" fillId="0" borderId="44" xfId="0" applyNumberFormat="1" applyFont="1" applyFill="1" applyBorder="1" applyAlignment="1">
      <alignment vertical="center"/>
    </xf>
    <xf numFmtId="4" fontId="0" fillId="0" borderId="10" xfId="0" applyNumberFormat="1" applyBorder="1"/>
    <xf numFmtId="2" fontId="2" fillId="0" borderId="0" xfId="0" applyNumberFormat="1" applyFont="1"/>
    <xf numFmtId="0" fontId="19" fillId="0" borderId="0" xfId="0" applyFont="1"/>
    <xf numFmtId="2" fontId="19" fillId="0" borderId="0" xfId="0" applyNumberFormat="1" applyFont="1"/>
    <xf numFmtId="0" fontId="7" fillId="0" borderId="0" xfId="0" applyFont="1"/>
    <xf numFmtId="43" fontId="0" fillId="0" borderId="14" xfId="6" applyFont="1" applyBorder="1" applyAlignment="1"/>
    <xf numFmtId="43" fontId="0" fillId="0" borderId="13" xfId="6" applyFont="1" applyBorder="1" applyAlignment="1"/>
    <xf numFmtId="2" fontId="4" fillId="0" borderId="1" xfId="0" applyNumberFormat="1" applyFont="1" applyFill="1" applyBorder="1"/>
    <xf numFmtId="0" fontId="20" fillId="0" borderId="0" xfId="0" applyFont="1"/>
    <xf numFmtId="0" fontId="0" fillId="0" borderId="0" xfId="0" applyFill="1"/>
    <xf numFmtId="0" fontId="0" fillId="0" borderId="14" xfId="0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/>
    <xf numFmtId="4" fontId="4" fillId="0" borderId="1" xfId="0" applyNumberFormat="1" applyFont="1" applyFill="1" applyBorder="1"/>
    <xf numFmtId="0" fontId="4" fillId="0" borderId="0" xfId="0" applyFont="1" applyFill="1"/>
    <xf numFmtId="0" fontId="0" fillId="0" borderId="1" xfId="0" applyFill="1" applyBorder="1" applyAlignment="1">
      <alignment horizontal="right"/>
    </xf>
    <xf numFmtId="0" fontId="0" fillId="0" borderId="0" xfId="0" applyFill="1" applyBorder="1"/>
    <xf numFmtId="0" fontId="0" fillId="0" borderId="0" xfId="0" applyAlignment="1">
      <alignment horizontal="center"/>
    </xf>
    <xf numFmtId="0" fontId="4" fillId="0" borderId="41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14" fontId="4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vertical="center"/>
    </xf>
    <xf numFmtId="0" fontId="1" fillId="0" borderId="0" xfId="7"/>
    <xf numFmtId="14" fontId="1" fillId="0" borderId="0" xfId="7" applyNumberFormat="1"/>
    <xf numFmtId="49" fontId="0" fillId="0" borderId="1" xfId="0" applyNumberFormat="1" applyFill="1" applyBorder="1"/>
    <xf numFmtId="4" fontId="18" fillId="3" borderId="1" xfId="0" applyNumberFormat="1" applyFont="1" applyFill="1" applyBorder="1"/>
    <xf numFmtId="0" fontId="21" fillId="3" borderId="0" xfId="0" applyFont="1" applyFill="1" applyAlignment="1">
      <alignment horizontal="right" vertical="top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14" fontId="0" fillId="0" borderId="1" xfId="0" applyNumberFormat="1" applyFill="1" applyBorder="1"/>
    <xf numFmtId="0" fontId="7" fillId="0" borderId="0" xfId="0" applyFont="1" applyBorder="1"/>
    <xf numFmtId="4" fontId="18" fillId="0" borderId="0" xfId="0" applyNumberFormat="1" applyFont="1" applyFill="1" applyBorder="1"/>
    <xf numFmtId="4" fontId="18" fillId="3" borderId="0" xfId="0" applyNumberFormat="1" applyFont="1" applyFill="1" applyBorder="1"/>
    <xf numFmtId="0" fontId="4" fillId="0" borderId="0" xfId="0" applyFont="1" applyBorder="1"/>
    <xf numFmtId="49" fontId="0" fillId="0" borderId="1" xfId="0" applyNumberFormat="1" applyFill="1" applyBorder="1" applyAlignment="1">
      <alignment horizontal="center"/>
    </xf>
    <xf numFmtId="0" fontId="2" fillId="0" borderId="0" xfId="0" applyFont="1" applyBorder="1"/>
    <xf numFmtId="0" fontId="0" fillId="0" borderId="45" xfId="0" applyBorder="1"/>
    <xf numFmtId="0" fontId="4" fillId="0" borderId="45" xfId="0" applyNumberFormat="1" applyFont="1" applyFill="1" applyBorder="1" applyAlignment="1">
      <alignment horizontal="center" vertical="center"/>
    </xf>
    <xf numFmtId="2" fontId="0" fillId="0" borderId="46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47" xfId="0" applyNumberFormat="1" applyBorder="1"/>
    <xf numFmtId="14" fontId="0" fillId="0" borderId="1" xfId="0" applyNumberFormat="1" applyBorder="1"/>
    <xf numFmtId="0" fontId="0" fillId="0" borderId="48" xfId="0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49" fontId="0" fillId="0" borderId="17" xfId="0" applyNumberFormat="1" applyFill="1" applyBorder="1"/>
    <xf numFmtId="14" fontId="0" fillId="0" borderId="17" xfId="0" applyNumberFormat="1" applyFill="1" applyBorder="1" applyAlignment="1">
      <alignment horizontal="center"/>
    </xf>
    <xf numFmtId="0" fontId="0" fillId="0" borderId="17" xfId="0" applyBorder="1"/>
    <xf numFmtId="0" fontId="4" fillId="0" borderId="17" xfId="0" applyFont="1" applyFill="1" applyBorder="1" applyAlignment="1">
      <alignment horizontal="right"/>
    </xf>
    <xf numFmtId="0" fontId="4" fillId="0" borderId="17" xfId="0" applyFont="1" applyFill="1" applyBorder="1" applyAlignment="1">
      <alignment horizontal="center"/>
    </xf>
    <xf numFmtId="4" fontId="4" fillId="0" borderId="17" xfId="0" applyNumberFormat="1" applyFont="1" applyFill="1" applyBorder="1" applyAlignment="1">
      <alignment horizontal="center"/>
    </xf>
    <xf numFmtId="4" fontId="4" fillId="0" borderId="17" xfId="0" applyNumberFormat="1" applyFont="1" applyFill="1" applyBorder="1"/>
    <xf numFmtId="2" fontId="4" fillId="0" borderId="17" xfId="0" applyNumberFormat="1" applyFont="1" applyFill="1" applyBorder="1"/>
    <xf numFmtId="0" fontId="4" fillId="0" borderId="17" xfId="0" applyFont="1" applyFill="1" applyBorder="1"/>
    <xf numFmtId="0" fontId="0" fillId="0" borderId="7" xfId="0" applyFill="1" applyBorder="1" applyAlignment="1">
      <alignment horizontal="center"/>
    </xf>
    <xf numFmtId="49" fontId="0" fillId="0" borderId="12" xfId="0" applyNumberFormat="1" applyFill="1" applyBorder="1"/>
    <xf numFmtId="14" fontId="0" fillId="0" borderId="12" xfId="0" applyNumberFormat="1" applyFill="1" applyBorder="1" applyAlignment="1">
      <alignment horizontal="center"/>
    </xf>
    <xf numFmtId="0" fontId="0" fillId="0" borderId="12" xfId="0" applyFill="1" applyBorder="1"/>
    <xf numFmtId="0" fontId="4" fillId="0" borderId="9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center"/>
    </xf>
    <xf numFmtId="4" fontId="18" fillId="0" borderId="12" xfId="0" applyNumberFormat="1" applyFont="1" applyFill="1" applyBorder="1" applyAlignment="1">
      <alignment horizontal="center"/>
    </xf>
    <xf numFmtId="4" fontId="4" fillId="0" borderId="12" xfId="0" applyNumberFormat="1" applyFont="1" applyFill="1" applyBorder="1"/>
    <xf numFmtId="2" fontId="4" fillId="0" borderId="12" xfId="0" applyNumberFormat="1" applyFont="1" applyFill="1" applyBorder="1"/>
    <xf numFmtId="0" fontId="4" fillId="0" borderId="12" xfId="0" applyFont="1" applyFill="1" applyBorder="1"/>
    <xf numFmtId="0" fontId="0" fillId="0" borderId="50" xfId="0" applyFill="1" applyBorder="1" applyAlignment="1">
      <alignment horizontal="center"/>
    </xf>
    <xf numFmtId="0" fontId="0" fillId="0" borderId="51" xfId="0" applyFill="1" applyBorder="1" applyAlignment="1">
      <alignment horizontal="center"/>
    </xf>
    <xf numFmtId="49" fontId="0" fillId="0" borderId="52" xfId="0" applyNumberFormat="1" applyFill="1" applyBorder="1"/>
    <xf numFmtId="14" fontId="0" fillId="0" borderId="52" xfId="0" applyNumberFormat="1" applyFill="1" applyBorder="1" applyAlignment="1">
      <alignment horizontal="center"/>
    </xf>
    <xf numFmtId="0" fontId="0" fillId="0" borderId="52" xfId="0" applyBorder="1"/>
    <xf numFmtId="0" fontId="4" fillId="0" borderId="52" xfId="0" applyFont="1" applyFill="1" applyBorder="1" applyAlignment="1">
      <alignment horizontal="right"/>
    </xf>
    <xf numFmtId="0" fontId="4" fillId="0" borderId="52" xfId="0" applyFont="1" applyFill="1" applyBorder="1" applyAlignment="1">
      <alignment horizontal="center"/>
    </xf>
    <xf numFmtId="4" fontId="4" fillId="0" borderId="52" xfId="0" applyNumberFormat="1" applyFont="1" applyFill="1" applyBorder="1" applyAlignment="1">
      <alignment horizontal="center"/>
    </xf>
    <xf numFmtId="4" fontId="4" fillId="0" borderId="52" xfId="0" applyNumberFormat="1" applyFont="1" applyFill="1" applyBorder="1"/>
    <xf numFmtId="2" fontId="4" fillId="0" borderId="52" xfId="0" applyNumberFormat="1" applyFont="1" applyFill="1" applyBorder="1"/>
    <xf numFmtId="0" fontId="4" fillId="0" borderId="52" xfId="0" applyFont="1" applyFill="1" applyBorder="1"/>
    <xf numFmtId="0" fontId="0" fillId="0" borderId="2" xfId="0" applyFill="1" applyBorder="1" applyAlignment="1">
      <alignment horizontal="center"/>
    </xf>
    <xf numFmtId="49" fontId="0" fillId="0" borderId="10" xfId="0" applyNumberFormat="1" applyFill="1" applyBorder="1"/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/>
    <xf numFmtId="0" fontId="4" fillId="0" borderId="4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center"/>
    </xf>
    <xf numFmtId="4" fontId="4" fillId="0" borderId="10" xfId="0" applyNumberFormat="1" applyFont="1" applyFill="1" applyBorder="1" applyAlignment="1">
      <alignment horizontal="center"/>
    </xf>
    <xf numFmtId="4" fontId="4" fillId="0" borderId="10" xfId="0" applyNumberFormat="1" applyFont="1" applyFill="1" applyBorder="1"/>
    <xf numFmtId="2" fontId="4" fillId="0" borderId="10" xfId="0" applyNumberFormat="1" applyFont="1" applyFill="1" applyBorder="1"/>
    <xf numFmtId="0" fontId="4" fillId="0" borderId="10" xfId="0" applyFont="1" applyFill="1" applyBorder="1"/>
    <xf numFmtId="14" fontId="0" fillId="0" borderId="17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7" xfId="0" applyNumberFormat="1" applyBorder="1"/>
    <xf numFmtId="14" fontId="0" fillId="0" borderId="12" xfId="0" applyNumberFormat="1" applyBorder="1" applyAlignment="1">
      <alignment horizontal="center"/>
    </xf>
    <xf numFmtId="4" fontId="4" fillId="0" borderId="12" xfId="0" applyNumberFormat="1" applyFont="1" applyFill="1" applyBorder="1" applyAlignment="1">
      <alignment horizontal="center"/>
    </xf>
    <xf numFmtId="14" fontId="0" fillId="0" borderId="52" xfId="0" applyNumberFormat="1" applyBorder="1" applyAlignment="1">
      <alignment horizontal="center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textRotation="90" wrapText="1"/>
    </xf>
    <xf numFmtId="0" fontId="0" fillId="0" borderId="11" xfId="0" applyBorder="1" applyAlignment="1">
      <alignment horizontal="center" textRotation="90" wrapText="1"/>
    </xf>
    <xf numFmtId="0" fontId="0" fillId="0" borderId="12" xfId="0" applyBorder="1" applyAlignment="1">
      <alignment horizontal="center" textRotation="90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5" xfId="0" applyBorder="1" applyAlignment="1">
      <alignment horizontal="center" textRotation="76"/>
    </xf>
    <xf numFmtId="0" fontId="0" fillId="0" borderId="0" xfId="0" applyAlignment="1">
      <alignment horizontal="center" textRotation="75"/>
    </xf>
    <xf numFmtId="0" fontId="0" fillId="0" borderId="4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10" fillId="0" borderId="3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1" fillId="0" borderId="2" xfId="4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3" fontId="0" fillId="0" borderId="14" xfId="6" applyFont="1" applyBorder="1" applyAlignment="1">
      <alignment horizontal="center"/>
    </xf>
    <xf numFmtId="43" fontId="0" fillId="0" borderId="13" xfId="6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3" fontId="0" fillId="0" borderId="14" xfId="6" applyNumberFormat="1" applyFont="1" applyBorder="1" applyAlignment="1">
      <alignment horizontal="center" vertical="center"/>
    </xf>
    <xf numFmtId="43" fontId="0" fillId="0" borderId="13" xfId="6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43" fontId="0" fillId="0" borderId="2" xfId="0" applyNumberFormat="1" applyBorder="1" applyAlignment="1">
      <alignment horizontal="center"/>
    </xf>
  </cellXfs>
  <cellStyles count="8">
    <cellStyle name="Hyperlink" xfId="4" builtinId="8"/>
    <cellStyle name="Komma" xfId="6" builtinId="3"/>
    <cellStyle name="Normal 2" xfId="2"/>
    <cellStyle name="Normal 3" xfId="1"/>
    <cellStyle name="Normalno 2" xfId="5"/>
    <cellStyle name="Normalno 3" xfId="7"/>
    <cellStyle name="S1" xf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izlaznih_ra&#269;una_05_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ulaznih_ra&#269;una_04_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PDV_UVA_V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zp_05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I-RA"/>
      <sheetName val="PIVOT"/>
    </sheetNames>
    <sheetDataSet>
      <sheetData sheetId="0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7">
          <cell r="S17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KUPAC( PRIMATELJ DOBRA ILI USLUGA)</v>
          </cell>
          <cell r="G19" t="str">
            <v>IZNOS( s PDV-om)</v>
          </cell>
          <cell r="H19" t="str">
            <v>NE PODLIJEZE OPOREZIVANJU I OSLOBOĐENO PDV-a</v>
          </cell>
          <cell r="R19" t="str">
            <v xml:space="preserve">OPOREZIVO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UKU UOBIČAJENO BORAVIŠTE</v>
          </cell>
          <cell r="F21" t="str">
            <v>( PDV ID. BR./ OIB)</v>
          </cell>
          <cell r="H21" t="str">
            <v>TUZEMNI PRIJENOST POREZNE OBVEZE</v>
          </cell>
          <cell r="I21" t="str">
            <v xml:space="preserve">ISPORUKE DOBARA U DRUGIM DRŽAVAMA ČLANICAMA </v>
          </cell>
          <cell r="J21" t="str">
            <v>ISPORUKE DOBARA UNUTAR EU</v>
          </cell>
          <cell r="K21" t="str">
            <v xml:space="preserve">OBAVLJENE USLUGE  UNUTAR EU </v>
          </cell>
          <cell r="L21" t="str">
            <v>OBAVLJENE USLUGE OSOBAMA BEZ SJEDIŠTA U RH</v>
          </cell>
          <cell r="M21" t="str">
            <v>SASTAVLJANJE I POSTAVLJANJE DOBARA U DRUGOJ DRŽAVI ČLANICI</v>
          </cell>
          <cell r="N21" t="str">
            <v>ISPORUKE NPS U EU</v>
          </cell>
          <cell r="O21" t="str">
            <v>U TUZEMSTVU</v>
          </cell>
          <cell r="P21" t="str">
            <v>IZVOZNE ISPORUKE</v>
          </cell>
          <cell r="Q21" t="str">
            <v>OSTALA OSLOBOĐENJA</v>
          </cell>
        </row>
        <row r="23">
          <cell r="R23" t="str">
            <v>OSNOVICA</v>
          </cell>
          <cell r="S23" t="str">
            <v>POREZ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U-RA"/>
    </sheetNames>
    <sheetDataSet>
      <sheetData sheetId="0" refreshError="1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6">
          <cell r="N16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DOBAVLJAČ ( ISPORUČITELJ DOBARA ILI USLUGA)</v>
          </cell>
          <cell r="M19" t="str">
            <v xml:space="preserve">POREZ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ILI UOBIČAJENO BORAVIŠTE</v>
          </cell>
          <cell r="F21" t="str">
            <v>( PDV ID. BR)</v>
          </cell>
          <cell r="G21" t="str">
            <v xml:space="preserve">POREZNA OSNOVICA </v>
          </cell>
          <cell r="J21" t="str">
            <v>UKUPNI IZNOS RAČUNA S PDV-om</v>
          </cell>
          <cell r="K21" t="str">
            <v>OSLOBOĐENO POREZA / NEOPOREZIVO</v>
          </cell>
        </row>
        <row r="23">
          <cell r="M23" t="str">
            <v xml:space="preserve">MOŽE SE ODBITI  </v>
          </cell>
          <cell r="N23" t="str">
            <v xml:space="preserve">NE MOŽE SE ODBIT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V"/>
      <sheetName val="UVA-DE"/>
      <sheetName val="VAT_ENG"/>
    </sheetNames>
    <sheetDataSet>
      <sheetData sheetId="0">
        <row r="8">
          <cell r="G8" t="str">
            <v>PDV PO STOPI 5%, 13% i 25% 
(iznos u kunama i lipama)</v>
          </cell>
        </row>
        <row r="9">
          <cell r="A9" t="str">
            <v xml:space="preserve"> OBRAČUN PDV-a U OBALJENIM TRANSAKCIJAMA
 DOBARA I USLUGA - UKUPNO (I. + II.)</v>
          </cell>
        </row>
        <row r="10">
          <cell r="A10" t="str">
            <v xml:space="preserve"> I. TRANSAKCIJE KOJE NE PODLIJEŽU OPOREZIVANJU I        OSLOBOĐENE - UKUPNO (1.+2.+3.+4.+5.+6.+7.+8.+9.+10.)</v>
          </cell>
        </row>
        <row r="11">
          <cell r="A11" t="str">
            <v>1. ISPORUKE U RH ZA KOJE PDV OBRAČUNAVA PRIMATELJ (tuzemni prijenos porezne obveze)</v>
          </cell>
        </row>
        <row r="12">
          <cell r="A12" t="str">
            <v>2.ISPORUKE DOBARA OBAVLJENE U DRUGIM DRŽAVAMA 
ČLANICAMA</v>
          </cell>
        </row>
        <row r="13">
          <cell r="A13" t="str">
            <v>3. ISPORUKE DOBARA UNUTAR EU</v>
          </cell>
        </row>
        <row r="14">
          <cell r="A14" t="str">
            <v>4. OBAVLJENE USLUGE UNUTAR EU</v>
          </cell>
        </row>
        <row r="15">
          <cell r="A15" t="str">
            <v>5. OBAVLJENE USLUGE OSOBAMA BEZ SJEDIŠTA U RH</v>
          </cell>
        </row>
        <row r="16">
          <cell r="A16" t="str">
            <v>6. SASTAVLJANJE I POSTAVLJANJE DOBARA U DRUGOJ
DRŽAVI ČLANICI EU</v>
          </cell>
        </row>
        <row r="17">
          <cell r="A17" t="str">
            <v>7. ISPORUKE NOVIH PRIJEVOZNIH SREDSTAVA U EU</v>
          </cell>
        </row>
        <row r="18">
          <cell r="A18" t="str">
            <v>8. TUZEMNE ISPORUKE</v>
          </cell>
        </row>
        <row r="19">
          <cell r="A19" t="str">
            <v>9. IZVOZNE ISPORUKE</v>
          </cell>
        </row>
        <row r="20">
          <cell r="A20" t="str">
            <v>10. OSTALA OSLOBOĐENJA</v>
          </cell>
        </row>
        <row r="21">
          <cell r="A21" t="str">
            <v>II. OPOREZIVE TRANSAKCIJE - UKUPNO
(1.+2.+3.+4.+5.+6.+7.+8.+9.+10.+11.+12.+13.+14.+15.)</v>
          </cell>
        </row>
        <row r="22">
          <cell r="A22" t="str">
            <v>1. ISPORUKE DOBARA I USLUGA U RH PO STOPI 5%</v>
          </cell>
        </row>
        <row r="23">
          <cell r="A23" t="str">
            <v>2. ISPORUKE DOBARA I USLUGA U RH PO STOPI 13%</v>
          </cell>
        </row>
        <row r="24">
          <cell r="A24" t="str">
            <v>3. ISPORUKE DOBARA I USLUGA U RH PO STOPI 25%</v>
          </cell>
        </row>
        <row r="25">
          <cell r="A25" t="str">
            <v>4. PRIMLJENE ISPORUKE U RH ZA KOJE PDV OBRAČUNAVA 
PRIMATELJ (tuzemni prijenos porezne obveze)</v>
          </cell>
        </row>
        <row r="26">
          <cell r="A26" t="str">
            <v>5. STJECANJE DOBARA UNUTAR EU PO STOPI 5%</v>
          </cell>
        </row>
        <row r="27">
          <cell r="A27" t="str">
            <v>6. STJECANJE DOBARA UNUTAR EU PO STOPI 13%</v>
          </cell>
        </row>
        <row r="28">
          <cell r="A28" t="str">
            <v>7. STJECANJE DOBARA UNUTAR EU PO STOPI 25%</v>
          </cell>
        </row>
        <row r="29">
          <cell r="A29" t="str">
            <v>8. PRIMLJENE USLUGE IZ EU PO STOPI 5%</v>
          </cell>
        </row>
        <row r="30">
          <cell r="A30" t="str">
            <v>9. PRIMLJENE USLUGE IZ EU PO STOPI 13%</v>
          </cell>
        </row>
        <row r="31">
          <cell r="A31" t="str">
            <v>10. PRIMLJENE USLUGE IZ EU PO STOPI 25%</v>
          </cell>
        </row>
        <row r="32">
          <cell r="A32" t="str">
            <v>11. PRIMLJENE ISPORUKE DOBARA I USLUGA OD 
POREZNIH OBVEZNIKA BEZ SJEDIŠTA U RH PO STOPI 5%</v>
          </cell>
        </row>
        <row r="33">
          <cell r="A33" t="str">
            <v>12. PRIMLJENE ISPORUKE DOBARA I USLUGA OD 
POREZNIH OBVEZNIKA BEZ SJEDIŠTA U RH PO STOPI 13%</v>
          </cell>
        </row>
        <row r="34">
          <cell r="A34" t="str">
            <v>13. PRIMLJENE ISPORUKE DOBARA I USLUGA OD 
POREZNIH OBVEZNIKA BEZ SJEDIŠTA U RH PO STOPI 25%</v>
          </cell>
        </row>
        <row r="35">
          <cell r="A35" t="str">
            <v>14. NAKNADNO OSLOBOĐENJE IZVOZA U OKVIRU 
OSOBNOG PUTNIČKOG PROMETA</v>
          </cell>
        </row>
        <row r="36">
          <cell r="A36" t="str">
            <v>15. OBRAČUNANI PDV PRI UVOZU</v>
          </cell>
        </row>
        <row r="37">
          <cell r="A37" t="str">
            <v>III. OBRAČUNANI PRETPOREZ - UKUPNO 
(1.+2.+.3.+4.+5.+6.+7.+8.+9.+10.+11.+12.+13.+14.+15.)</v>
          </cell>
        </row>
        <row r="38">
          <cell r="A38" t="str">
            <v>1. PRETPOREZ OD PRIMLJENIH ISPORUKA U TUZEMSTVO po stopi od 5%</v>
          </cell>
        </row>
        <row r="39">
          <cell r="A39" t="str">
            <v>2. PRETPOREZ OD PRIMLJENIH ISPORUKA U TUZEMSTVO po stopi od 13%</v>
          </cell>
        </row>
        <row r="40">
          <cell r="A40" t="str">
            <v>3. PRETPOREZ OD PRIMLJENIH ISPORUKA U TUZEMSTVO po stopi od 25%</v>
          </cell>
        </row>
        <row r="41">
          <cell r="A41" t="str">
            <v>4. PRETPOREZ OD PRIMLJENIH ISPORUKA U RH ZA KOJE
PDV OBRAČUNAVA PRIMATELJ
(tuzemni prijenos porezne obveze)</v>
          </cell>
        </row>
        <row r="42">
          <cell r="A42" t="str">
            <v>5. PRETPOREZ OD STJECANJA DOBARA UNUTAR EU po stopi od 5%</v>
          </cell>
        </row>
        <row r="43">
          <cell r="A43" t="str">
            <v>6. PRETPOREZ OD STJECANJA DOBARA UNUTAR EU po stopi od 13%</v>
          </cell>
        </row>
        <row r="44">
          <cell r="A44" t="str">
            <v>7. PRETPOREZ OD STJECANJA DOBARA UNUTAR EU po stopi od 25%</v>
          </cell>
        </row>
        <row r="45">
          <cell r="A45" t="str">
            <v>8.PRETPOREU OD PRIMLJENIH USLUGA IZ EU po stopi od 5%</v>
          </cell>
        </row>
        <row r="46">
          <cell r="A46" t="str">
            <v>9.PRETPOREZ OD PRIMLJENIH USLUGA IZ EU po stopi od 13%</v>
          </cell>
        </row>
        <row r="47">
          <cell r="A47" t="str">
            <v>10.PRETPOREZ OD PRIMLJENIH USLUGA IZ EU po stopi 25%</v>
          </cell>
        </row>
        <row r="48">
          <cell r="A48" t="str">
            <v>11. PRIMLJENE ISPORUKE DOBARA I USLUGA OD 
POREZNIH OBVEZNIKA BEZ SJEDIŠTA U RH PO STOPI 5%</v>
          </cell>
        </row>
        <row r="49">
          <cell r="A49" t="str">
            <v>12. PRIMLJENE ISPORUKE DOBARA I USLUGA OD 
POREZNIH OBVEZNIKA BEZ SJEDIŠTA U RH PO STOPI 13%</v>
          </cell>
        </row>
        <row r="50">
          <cell r="A50" t="str">
            <v>13. PRIMLJENE ISPORUKE DOBARA I USLUGA OD 
POREZNIH OBVEZNIKA BEZ SJEDIŠTA U RH PO STOPI 25%</v>
          </cell>
        </row>
        <row r="51">
          <cell r="A51" t="str">
            <v>14.PRETPOREZ PRI UVOZU</v>
          </cell>
        </row>
        <row r="52">
          <cell r="A52" t="str">
            <v>15.ISPRAVCI PRETPOREZA</v>
          </cell>
        </row>
        <row r="53">
          <cell r="A53" t="str">
            <v>IV. OBVEZA PDV-a U OBRAČUNSKOM RAZDOBLJU:
ZA UPLATU (II.-III.) ILI ZA POVRAT (III.-II.)</v>
          </cell>
        </row>
        <row r="54">
          <cell r="A54" t="str">
            <v>V. PO PRETHODNOM OBRAČUNU: NEUPLAĆENI PDV DO DANA
PODNOŠENJA OVE PRIJAVE - VIŠE UPLAĆENO - POREZNI KREDIT</v>
          </cell>
        </row>
        <row r="55">
          <cell r="A55" t="str">
            <v>VI. UKUPNO RAZLIKA: ZA UPLATU/ZA POVRAT</v>
          </cell>
        </row>
        <row r="57">
          <cell r="A57" t="str">
            <v>VII. IZNOS GODIŠNJEG RAZMJERNOG 
ODBITKA PRETPOREZA (%)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P"/>
    </sheetNames>
    <sheetDataSet>
      <sheetData sheetId="0">
        <row r="1">
          <cell r="V1" t="str">
            <v>OBRAZAC ZP</v>
          </cell>
        </row>
        <row r="3">
          <cell r="A3" t="str">
            <v>POREZNA UPRAVA</v>
          </cell>
          <cell r="O3" t="str">
            <v>PDV identifikacijski broj          (3)</v>
          </cell>
        </row>
        <row r="4">
          <cell r="A4" t="str">
            <v>PODRUČNI URED</v>
          </cell>
        </row>
        <row r="6">
          <cell r="O6" t="str">
            <v>Porezni obveznik                      (naziv/ime i prezime)          (4)</v>
          </cell>
        </row>
        <row r="9">
          <cell r="O9" t="str">
            <v>Adresa                      (mjesto, ulica i broj)              (5)</v>
          </cell>
        </row>
        <row r="12">
          <cell r="O12" t="str">
            <v>PDV identifikacijski broj          poreznog zastupnika               (6)</v>
          </cell>
        </row>
        <row r="17">
          <cell r="A17" t="str">
            <v>ZBIRNA PRIJAVA</v>
          </cell>
        </row>
        <row r="18">
          <cell r="A18" t="str">
            <v>Zbirna prijava za isporuke dobara i usluga u druge države članice Europske unije</v>
          </cell>
        </row>
        <row r="22">
          <cell r="A22" t="str">
            <v>Red.            br.</v>
          </cell>
          <cell r="C22" t="str">
            <v>Kôd države</v>
          </cell>
          <cell r="E22" t="str">
            <v>PDV identifikacijski                     broj primatelja                                           (bez kôda države)</v>
          </cell>
          <cell r="I22" t="str">
            <v>Vrijednost isporuke dobara                    (u kunama i lipama)</v>
          </cell>
          <cell r="M22" t="str">
            <v>Vrijednost isporuke dobara u postupcima 42 i 63                                      (u kunama i lipama)</v>
          </cell>
          <cell r="Q22" t="str">
            <v>Vrijednost isporuke dobara u okviru trostranog posla                   (u kunama i lipama)</v>
          </cell>
          <cell r="V22" t="str">
            <v>Vrijednost obavljenih usluga                                            (u kunama i lipama)</v>
          </cell>
        </row>
        <row r="41">
          <cell r="A41" t="str">
            <v>Ukupna vrijednost</v>
          </cell>
        </row>
        <row r="46">
          <cell r="A46" t="str">
            <v>Potvrđujem istinitost navedenih podataka</v>
          </cell>
          <cell r="O46" t="str">
            <v>Potpis                                                       (20)</v>
          </cell>
        </row>
        <row r="47">
          <cell r="A47" t="str">
            <v>Obračun sastavio                   (ime i prezime)                     (19)</v>
          </cell>
          <cell r="O47" t="str">
            <v>Broj telefona/fax/e-mail       (21)</v>
          </cell>
        </row>
      </sheetData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van.podgorski-bocek@leitnerleitne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ivan.podgorski-bocek@leitnerleitn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0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35" sqref="B235:B237"/>
    </sheetView>
  </sheetViews>
  <sheetFormatPr baseColWidth="10" defaultColWidth="9" defaultRowHeight="12.75" x14ac:dyDescent="0.2"/>
  <cols>
    <col min="1" max="1" width="20.875" customWidth="1"/>
    <col min="2" max="2" width="93" customWidth="1"/>
    <col min="3" max="3" width="118" customWidth="1"/>
    <col min="4" max="4" width="82.375" customWidth="1"/>
  </cols>
  <sheetData>
    <row r="1" spans="1:4" x14ac:dyDescent="0.2">
      <c r="A1" s="50" t="s">
        <v>130</v>
      </c>
      <c r="B1" s="50" t="s">
        <v>128</v>
      </c>
      <c r="C1" s="50" t="s">
        <v>127</v>
      </c>
      <c r="D1" s="50" t="s">
        <v>129</v>
      </c>
    </row>
    <row r="2" spans="1:4" x14ac:dyDescent="0.2">
      <c r="A2" t="s">
        <v>139</v>
      </c>
      <c r="B2" s="32" t="s">
        <v>354</v>
      </c>
      <c r="C2" t="s">
        <v>355</v>
      </c>
      <c r="D2" s="32" t="s">
        <v>356</v>
      </c>
    </row>
    <row r="3" spans="1:4" x14ac:dyDescent="0.2">
      <c r="A3" t="s">
        <v>148</v>
      </c>
      <c r="B3" t="s">
        <v>140</v>
      </c>
      <c r="C3" t="s">
        <v>407</v>
      </c>
      <c r="D3" t="s">
        <v>351</v>
      </c>
    </row>
    <row r="4" spans="1:4" x14ac:dyDescent="0.2">
      <c r="A4" t="s">
        <v>347</v>
      </c>
      <c r="B4" t="s">
        <v>134</v>
      </c>
      <c r="C4" t="s">
        <v>408</v>
      </c>
      <c r="D4" t="s">
        <v>76</v>
      </c>
    </row>
    <row r="5" spans="1:4" x14ac:dyDescent="0.2">
      <c r="A5" t="s">
        <v>348</v>
      </c>
      <c r="B5" t="s">
        <v>135</v>
      </c>
      <c r="C5" t="s">
        <v>135</v>
      </c>
      <c r="D5" t="s">
        <v>135</v>
      </c>
    </row>
    <row r="6" spans="1:4" x14ac:dyDescent="0.2">
      <c r="A6" t="s">
        <v>349</v>
      </c>
      <c r="B6" t="s">
        <v>136</v>
      </c>
      <c r="C6" t="s">
        <v>412</v>
      </c>
      <c r="D6" t="s">
        <v>352</v>
      </c>
    </row>
    <row r="7" spans="1:4" x14ac:dyDescent="0.2">
      <c r="A7" t="s">
        <v>350</v>
      </c>
      <c r="B7" t="s">
        <v>137</v>
      </c>
      <c r="C7" t="s">
        <v>413</v>
      </c>
      <c r="D7" t="s">
        <v>353</v>
      </c>
    </row>
    <row r="8" spans="1:4" x14ac:dyDescent="0.2">
      <c r="A8" t="s">
        <v>409</v>
      </c>
      <c r="B8" t="s">
        <v>414</v>
      </c>
      <c r="C8" t="s">
        <v>417</v>
      </c>
      <c r="D8" t="s">
        <v>420</v>
      </c>
    </row>
    <row r="9" spans="1:4" x14ac:dyDescent="0.2">
      <c r="A9" t="s">
        <v>410</v>
      </c>
      <c r="B9" t="s">
        <v>415</v>
      </c>
      <c r="C9" t="s">
        <v>418</v>
      </c>
      <c r="D9" t="s">
        <v>421</v>
      </c>
    </row>
    <row r="10" spans="1:4" x14ac:dyDescent="0.2">
      <c r="A10" t="s">
        <v>411</v>
      </c>
      <c r="B10" t="s">
        <v>416</v>
      </c>
      <c r="C10" t="s">
        <v>419</v>
      </c>
      <c r="D10" t="s">
        <v>422</v>
      </c>
    </row>
    <row r="12" spans="1:4" ht="13.5" customHeight="1" x14ac:dyDescent="0.2">
      <c r="A12" t="s">
        <v>131</v>
      </c>
      <c r="B12" t="str">
        <f>'[1]Knjiga_I-RA'!$B$3</f>
        <v>POREZNI OBVEZNIK: NAZIV/ IME I PREZIME</v>
      </c>
      <c r="C12" t="s">
        <v>482</v>
      </c>
      <c r="D12" t="s">
        <v>7</v>
      </c>
    </row>
    <row r="13" spans="1:4" x14ac:dyDescent="0.2">
      <c r="A13" t="s">
        <v>133</v>
      </c>
      <c r="B13" t="str">
        <f>'[1]Knjiga_I-RA'!$B$6</f>
        <v xml:space="preserve">ADRESA:MJESTO, ULICA I BROJ </v>
      </c>
      <c r="C13" t="s">
        <v>427</v>
      </c>
      <c r="D13" t="s">
        <v>27</v>
      </c>
    </row>
    <row r="14" spans="1:4" x14ac:dyDescent="0.2">
      <c r="A14" t="s">
        <v>149</v>
      </c>
      <c r="B14" t="str">
        <f>$B$53</f>
        <v>BROJČANA OZNAKA (ŠIFRA) DJELATNOSTI PREMA NACIONALNOJ KLASIFIKACIJI</v>
      </c>
      <c r="C14" t="s">
        <v>483</v>
      </c>
      <c r="D14" t="s">
        <v>8</v>
      </c>
    </row>
    <row r="15" spans="1:4" x14ac:dyDescent="0.2">
      <c r="A15" t="s">
        <v>150</v>
      </c>
      <c r="B15" t="str">
        <f>'[1]Knjiga_I-RA'!$B$13</f>
        <v xml:space="preserve">PDV ID.BR./   </v>
      </c>
      <c r="C15" t="s">
        <v>434</v>
      </c>
      <c r="D15" t="s">
        <v>76</v>
      </c>
    </row>
    <row r="16" spans="1:4" x14ac:dyDescent="0.2">
      <c r="A16" t="s">
        <v>151</v>
      </c>
      <c r="B16" t="s">
        <v>346</v>
      </c>
      <c r="C16" t="s">
        <v>484</v>
      </c>
      <c r="D16" t="s">
        <v>9</v>
      </c>
    </row>
    <row r="17" spans="1:4" x14ac:dyDescent="0.2">
      <c r="A17" t="s">
        <v>152</v>
      </c>
      <c r="B17" t="str">
        <f>'[1]Knjiga_I-RA'!$S$17</f>
        <v>IZNOS U KUNAMA I LIPAMA</v>
      </c>
      <c r="C17" t="s">
        <v>428</v>
      </c>
      <c r="D17" t="s">
        <v>29</v>
      </c>
    </row>
    <row r="18" spans="1:4" ht="13.5" customHeight="1" x14ac:dyDescent="0.2">
      <c r="A18" t="s">
        <v>153</v>
      </c>
      <c r="B18" t="str">
        <f>'[1]Knjiga_I-RA'!$A$19</f>
        <v xml:space="preserve"> RED.BR.</v>
      </c>
      <c r="C18" t="s">
        <v>445</v>
      </c>
      <c r="D18" t="s">
        <v>10</v>
      </c>
    </row>
    <row r="19" spans="1:4" x14ac:dyDescent="0.2">
      <c r="A19" t="s">
        <v>154</v>
      </c>
      <c r="B19" t="str">
        <f>'[1]Knjiga_I-RA'!$B$19</f>
        <v xml:space="preserve">RAČUN </v>
      </c>
      <c r="C19" t="s">
        <v>430</v>
      </c>
      <c r="D19" t="s">
        <v>13</v>
      </c>
    </row>
    <row r="20" spans="1:4" x14ac:dyDescent="0.2">
      <c r="A20" t="s">
        <v>155</v>
      </c>
      <c r="B20" t="str">
        <f>'[1]Knjiga_I-RA'!$B$21</f>
        <v xml:space="preserve">BROJ </v>
      </c>
      <c r="C20" t="s">
        <v>429</v>
      </c>
      <c r="D20" t="s">
        <v>11</v>
      </c>
    </row>
    <row r="21" spans="1:4" x14ac:dyDescent="0.2">
      <c r="A21" t="s">
        <v>156</v>
      </c>
      <c r="B21" t="str">
        <f>'[1]Knjiga_I-RA'!$C$21</f>
        <v>DATUM</v>
      </c>
      <c r="C21" t="s">
        <v>431</v>
      </c>
      <c r="D21" t="s">
        <v>12</v>
      </c>
    </row>
    <row r="22" spans="1:4" x14ac:dyDescent="0.2">
      <c r="A22" t="s">
        <v>157</v>
      </c>
      <c r="B22" t="str">
        <f>'[1]Knjiga_I-RA'!$D$19</f>
        <v>KUPAC( PRIMATELJ DOBRA ILI USLUGA)</v>
      </c>
      <c r="C22" t="s">
        <v>432</v>
      </c>
      <c r="D22" t="s">
        <v>14</v>
      </c>
    </row>
    <row r="23" spans="1:4" ht="12.75" customHeight="1" x14ac:dyDescent="0.2">
      <c r="A23" t="s">
        <v>158</v>
      </c>
      <c r="B23" t="str">
        <f>'[1]Knjiga_I-RA'!$D$21</f>
        <v>NAZIV- IME I PREZIME I SJEDIŠTE/ PREBIVALIŠTE UKU UOBIČAJENO BORAVIŠTE</v>
      </c>
      <c r="C23" t="s">
        <v>485</v>
      </c>
      <c r="D23" t="s">
        <v>15</v>
      </c>
    </row>
    <row r="24" spans="1:4" x14ac:dyDescent="0.2">
      <c r="A24" t="s">
        <v>159</v>
      </c>
      <c r="B24" t="str">
        <f>'[1]Knjiga_I-RA'!$F$21</f>
        <v>( PDV ID. BR./ OIB)</v>
      </c>
      <c r="C24" t="s">
        <v>434</v>
      </c>
      <c r="D24" t="s">
        <v>76</v>
      </c>
    </row>
    <row r="25" spans="1:4" x14ac:dyDescent="0.2">
      <c r="A25" t="s">
        <v>160</v>
      </c>
      <c r="B25" s="39" t="str">
        <f>'[1]Knjiga_I-RA'!$G$19</f>
        <v>IZNOS( s PDV-om)</v>
      </c>
      <c r="C25" t="s">
        <v>435</v>
      </c>
      <c r="D25" t="s">
        <v>16</v>
      </c>
    </row>
    <row r="26" spans="1:4" x14ac:dyDescent="0.2">
      <c r="A26" t="s">
        <v>161</v>
      </c>
      <c r="B26" t="str">
        <f>'[1]Knjiga_I-RA'!$H$19</f>
        <v>NE PODLIJEZE OPOREZIVANJU I OSLOBOĐENO PDV-a</v>
      </c>
      <c r="C26" t="s">
        <v>436</v>
      </c>
      <c r="D26" t="s">
        <v>18</v>
      </c>
    </row>
    <row r="27" spans="1:4" x14ac:dyDescent="0.2">
      <c r="A27" t="s">
        <v>162</v>
      </c>
      <c r="B27" t="str">
        <f>'[1]Knjiga_I-RA'!$H$21</f>
        <v>TUZEMNI PRIJENOST POREZNE OBVEZE</v>
      </c>
      <c r="C27" t="s">
        <v>437</v>
      </c>
      <c r="D27" t="s">
        <v>17</v>
      </c>
    </row>
    <row r="28" spans="1:4" x14ac:dyDescent="0.2">
      <c r="A28" t="s">
        <v>163</v>
      </c>
      <c r="B28" t="str">
        <f>'[1]Knjiga_I-RA'!$I$21</f>
        <v xml:space="preserve">ISPORUKE DOBARA U DRUGIM DRŽAVAMA ČLANICAMA </v>
      </c>
      <c r="C28" t="s">
        <v>438</v>
      </c>
      <c r="D28" t="s">
        <v>72</v>
      </c>
    </row>
    <row r="29" spans="1:4" x14ac:dyDescent="0.2">
      <c r="A29" t="s">
        <v>164</v>
      </c>
      <c r="B29" t="str">
        <f>'[1]Knjiga_I-RA'!$J$21</f>
        <v>ISPORUKE DOBARA UNUTAR EU</v>
      </c>
      <c r="C29" t="s">
        <v>439</v>
      </c>
      <c r="D29" t="s">
        <v>20</v>
      </c>
    </row>
    <row r="30" spans="1:4" x14ac:dyDescent="0.2">
      <c r="A30" t="s">
        <v>165</v>
      </c>
      <c r="B30" t="str">
        <f>'[1]Knjiga_I-RA'!$K$21</f>
        <v xml:space="preserve">OBAVLJENE USLUGE  UNUTAR EU </v>
      </c>
      <c r="C30" t="s">
        <v>453</v>
      </c>
      <c r="D30" t="s">
        <v>19</v>
      </c>
    </row>
    <row r="31" spans="1:4" x14ac:dyDescent="0.2">
      <c r="A31" t="s">
        <v>166</v>
      </c>
      <c r="B31" t="str">
        <f>'[1]Knjiga_I-RA'!$L$21</f>
        <v>OBAVLJENE USLUGE OSOBAMA BEZ SJEDIŠTA U RH</v>
      </c>
      <c r="C31" t="s">
        <v>452</v>
      </c>
      <c r="D31" t="s">
        <v>73</v>
      </c>
    </row>
    <row r="32" spans="1:4" x14ac:dyDescent="0.2">
      <c r="A32" t="s">
        <v>167</v>
      </c>
      <c r="B32" t="str">
        <f>'[1]Knjiga_I-RA'!$M$21</f>
        <v>SASTAVLJANJE I POSTAVLJANJE DOBARA U DRUGOJ DRŽAVI ČLANICI</v>
      </c>
      <c r="C32" t="s">
        <v>454</v>
      </c>
      <c r="D32" t="s">
        <v>74</v>
      </c>
    </row>
    <row r="33" spans="1:4" x14ac:dyDescent="0.2">
      <c r="A33" t="s">
        <v>168</v>
      </c>
      <c r="B33" t="str">
        <f>'[1]Knjiga_I-RA'!$N$21</f>
        <v>ISPORUKE NPS U EU</v>
      </c>
      <c r="C33" t="s">
        <v>486</v>
      </c>
      <c r="D33" t="s">
        <v>75</v>
      </c>
    </row>
    <row r="34" spans="1:4" x14ac:dyDescent="0.2">
      <c r="A34" t="s">
        <v>169</v>
      </c>
      <c r="B34" t="str">
        <f>'[1]Knjiga_I-RA'!$O$21</f>
        <v>U TUZEMSTVU</v>
      </c>
      <c r="C34" t="s">
        <v>440</v>
      </c>
      <c r="D34" t="s">
        <v>21</v>
      </c>
    </row>
    <row r="35" spans="1:4" x14ac:dyDescent="0.2">
      <c r="A35" t="s">
        <v>170</v>
      </c>
      <c r="B35" t="str">
        <f>'[1]Knjiga_I-RA'!$P$21</f>
        <v>IZVOZNE ISPORUKE</v>
      </c>
      <c r="C35" t="s">
        <v>441</v>
      </c>
      <c r="D35" t="s">
        <v>22</v>
      </c>
    </row>
    <row r="36" spans="1:4" x14ac:dyDescent="0.2">
      <c r="A36" t="s">
        <v>171</v>
      </c>
      <c r="B36" t="str">
        <f>'[1]Knjiga_I-RA'!$Q$21</f>
        <v>OSTALA OSLOBOĐENJA</v>
      </c>
      <c r="C36" t="s">
        <v>442</v>
      </c>
      <c r="D36" t="s">
        <v>23</v>
      </c>
    </row>
    <row r="37" spans="1:4" x14ac:dyDescent="0.2">
      <c r="A37" t="s">
        <v>172</v>
      </c>
      <c r="B37" t="str">
        <f>'[1]Knjiga_I-RA'!$R$19</f>
        <v xml:space="preserve">OPOREZIVO </v>
      </c>
      <c r="C37" t="s">
        <v>443</v>
      </c>
      <c r="D37" t="s">
        <v>24</v>
      </c>
    </row>
    <row r="38" spans="1:4" ht="12" customHeight="1" x14ac:dyDescent="0.2">
      <c r="A38" t="s">
        <v>173</v>
      </c>
      <c r="B38" s="46">
        <v>0.05</v>
      </c>
      <c r="C38" s="46">
        <v>0.05</v>
      </c>
      <c r="D38" s="46">
        <v>0.05</v>
      </c>
    </row>
    <row r="39" spans="1:4" ht="12" customHeight="1" x14ac:dyDescent="0.2">
      <c r="A39" t="s">
        <v>174</v>
      </c>
      <c r="B39" t="str">
        <f>'[1]Knjiga_I-RA'!$R$23</f>
        <v>OSNOVICA</v>
      </c>
      <c r="C39" t="s">
        <v>451</v>
      </c>
      <c r="D39" t="s">
        <v>25</v>
      </c>
    </row>
    <row r="40" spans="1:4" ht="12" customHeight="1" x14ac:dyDescent="0.2">
      <c r="A40" t="s">
        <v>175</v>
      </c>
      <c r="B40" t="str">
        <f>'[1]Knjiga_I-RA'!$S$23</f>
        <v>POREZ</v>
      </c>
      <c r="C40" t="s">
        <v>444</v>
      </c>
      <c r="D40" t="s">
        <v>26</v>
      </c>
    </row>
    <row r="41" spans="1:4" ht="12" customHeight="1" x14ac:dyDescent="0.2">
      <c r="A41" t="s">
        <v>176</v>
      </c>
      <c r="B41" s="46">
        <v>0.13</v>
      </c>
      <c r="C41" s="46">
        <v>0.13</v>
      </c>
      <c r="D41" s="46">
        <v>0.13</v>
      </c>
    </row>
    <row r="42" spans="1:4" ht="12" customHeight="1" x14ac:dyDescent="0.2">
      <c r="A42" t="s">
        <v>177</v>
      </c>
      <c r="B42" t="str">
        <f t="shared" ref="B42:B43" si="0">B39</f>
        <v>OSNOVICA</v>
      </c>
      <c r="C42" t="s">
        <v>451</v>
      </c>
      <c r="D42" t="s">
        <v>25</v>
      </c>
    </row>
    <row r="43" spans="1:4" ht="12" customHeight="1" x14ac:dyDescent="0.2">
      <c r="A43" t="s">
        <v>178</v>
      </c>
      <c r="B43" t="str">
        <f t="shared" si="0"/>
        <v>POREZ</v>
      </c>
      <c r="C43" t="s">
        <v>444</v>
      </c>
      <c r="D43" t="s">
        <v>26</v>
      </c>
    </row>
    <row r="44" spans="1:4" ht="12" customHeight="1" x14ac:dyDescent="0.2">
      <c r="A44" t="s">
        <v>179</v>
      </c>
      <c r="B44" s="46">
        <v>0.25</v>
      </c>
      <c r="C44" s="46">
        <v>0.25</v>
      </c>
      <c r="D44" s="46">
        <v>0.25</v>
      </c>
    </row>
    <row r="45" spans="1:4" ht="12" customHeight="1" x14ac:dyDescent="0.2">
      <c r="A45" t="s">
        <v>180</v>
      </c>
      <c r="B45" t="str">
        <f t="shared" ref="B45:B46" si="1">B42</f>
        <v>OSNOVICA</v>
      </c>
      <c r="C45" t="s">
        <v>451</v>
      </c>
      <c r="D45" t="s">
        <v>25</v>
      </c>
    </row>
    <row r="46" spans="1:4" ht="12" customHeight="1" x14ac:dyDescent="0.2">
      <c r="A46" t="s">
        <v>181</v>
      </c>
      <c r="B46" t="str">
        <f t="shared" si="1"/>
        <v>POREZ</v>
      </c>
      <c r="C46" t="s">
        <v>444</v>
      </c>
      <c r="D46" t="s">
        <v>26</v>
      </c>
    </row>
    <row r="47" spans="1:4" ht="12" customHeight="1" x14ac:dyDescent="0.2"/>
    <row r="48" spans="1:4" ht="12" customHeight="1" x14ac:dyDescent="0.2"/>
    <row r="49" spans="1:4" ht="12" customHeight="1" x14ac:dyDescent="0.2"/>
    <row r="50" spans="1:4" ht="12" customHeight="1" x14ac:dyDescent="0.2"/>
    <row r="51" spans="1:4" ht="10.5" customHeight="1" x14ac:dyDescent="0.2">
      <c r="A51" t="s">
        <v>132</v>
      </c>
      <c r="B51" t="str">
        <f>'[2]Knjiga_U-RA'!$B$3</f>
        <v>POREZNI OBVEZNIK: NAZIV/ IME I PREZIME</v>
      </c>
      <c r="C51" t="s">
        <v>426</v>
      </c>
      <c r="D51" t="s">
        <v>7</v>
      </c>
    </row>
    <row r="52" spans="1:4" x14ac:dyDescent="0.2">
      <c r="A52" t="s">
        <v>182</v>
      </c>
      <c r="B52" t="str">
        <f>'[2]Knjiga_U-RA'!$B$6</f>
        <v xml:space="preserve">ADRESA:MJESTO, ULICA I BROJ </v>
      </c>
      <c r="C52" t="s">
        <v>427</v>
      </c>
      <c r="D52" t="s">
        <v>27</v>
      </c>
    </row>
    <row r="53" spans="1:4" x14ac:dyDescent="0.2">
      <c r="A53" t="s">
        <v>183</v>
      </c>
      <c r="B53" t="s">
        <v>344</v>
      </c>
      <c r="C53" t="s">
        <v>450</v>
      </c>
      <c r="D53" t="s">
        <v>8</v>
      </c>
    </row>
    <row r="54" spans="1:4" x14ac:dyDescent="0.2">
      <c r="A54" t="s">
        <v>184</v>
      </c>
      <c r="B54" t="str">
        <f>'[2]Knjiga_U-RA'!$B$13</f>
        <v xml:space="preserve">PDV ID.BR./   </v>
      </c>
      <c r="C54" t="s">
        <v>434</v>
      </c>
      <c r="D54" t="s">
        <v>76</v>
      </c>
    </row>
    <row r="55" spans="1:4" x14ac:dyDescent="0.2">
      <c r="A55" t="s">
        <v>185</v>
      </c>
      <c r="B55" t="s">
        <v>345</v>
      </c>
      <c r="C55" t="s">
        <v>487</v>
      </c>
      <c r="D55" t="s">
        <v>28</v>
      </c>
    </row>
    <row r="56" spans="1:4" x14ac:dyDescent="0.2">
      <c r="A56" t="s">
        <v>186</v>
      </c>
      <c r="B56" t="str">
        <f>'[2]Knjiga_U-RA'!$N$16</f>
        <v>IZNOS U KUNAMA I LIPAMA</v>
      </c>
      <c r="C56" t="s">
        <v>428</v>
      </c>
      <c r="D56" t="s">
        <v>29</v>
      </c>
    </row>
    <row r="57" spans="1:4" x14ac:dyDescent="0.2">
      <c r="A57" t="s">
        <v>187</v>
      </c>
      <c r="B57" t="str">
        <f>'[2]Knjiga_U-RA'!$A$19</f>
        <v xml:space="preserve"> RED.BR.</v>
      </c>
      <c r="C57" t="s">
        <v>445</v>
      </c>
      <c r="D57" t="s">
        <v>10</v>
      </c>
    </row>
    <row r="58" spans="1:4" x14ac:dyDescent="0.2">
      <c r="A58" t="s">
        <v>188</v>
      </c>
      <c r="B58" t="str">
        <f>'[2]Knjiga_U-RA'!$B$19</f>
        <v xml:space="preserve">RAČUN </v>
      </c>
      <c r="C58" t="s">
        <v>430</v>
      </c>
      <c r="D58" t="s">
        <v>13</v>
      </c>
    </row>
    <row r="59" spans="1:4" x14ac:dyDescent="0.2">
      <c r="A59" t="s">
        <v>189</v>
      </c>
      <c r="B59" t="str">
        <f>'[2]Knjiga_U-RA'!$B$21</f>
        <v xml:space="preserve">BROJ </v>
      </c>
      <c r="C59" t="s">
        <v>429</v>
      </c>
      <c r="D59" t="s">
        <v>11</v>
      </c>
    </row>
    <row r="60" spans="1:4" x14ac:dyDescent="0.2">
      <c r="A60" t="s">
        <v>190</v>
      </c>
      <c r="B60" t="str">
        <f>'[2]Knjiga_U-RA'!$C$21</f>
        <v>DATUM</v>
      </c>
      <c r="C60" t="s">
        <v>431</v>
      </c>
      <c r="D60" t="s">
        <v>12</v>
      </c>
    </row>
    <row r="61" spans="1:4" x14ac:dyDescent="0.2">
      <c r="A61" t="s">
        <v>191</v>
      </c>
      <c r="B61" t="str">
        <f>'[2]Knjiga_U-RA'!$D$19</f>
        <v>DOBAVLJAČ ( ISPORUČITELJ DOBARA ILI USLUGA)</v>
      </c>
      <c r="C61" t="s">
        <v>488</v>
      </c>
      <c r="D61" t="s">
        <v>30</v>
      </c>
    </row>
    <row r="62" spans="1:4" x14ac:dyDescent="0.2">
      <c r="A62" t="s">
        <v>192</v>
      </c>
      <c r="B62" t="str">
        <f>'[2]Knjiga_U-RA'!$D$21</f>
        <v>NAZIV- IME I PREZIME I SJEDIŠTE/ PREBIVALIŠTE ILI UOBIČAJENO BORAVIŠTE</v>
      </c>
      <c r="C62" t="s">
        <v>433</v>
      </c>
      <c r="D62" t="s">
        <v>15</v>
      </c>
    </row>
    <row r="63" spans="1:4" x14ac:dyDescent="0.2">
      <c r="A63" t="s">
        <v>193</v>
      </c>
      <c r="B63" t="str">
        <f>'[2]Knjiga_U-RA'!$F$21</f>
        <v>( PDV ID. BR)</v>
      </c>
      <c r="C63" t="s">
        <v>434</v>
      </c>
      <c r="D63" t="s">
        <v>76</v>
      </c>
    </row>
    <row r="64" spans="1:4" x14ac:dyDescent="0.2">
      <c r="A64" t="s">
        <v>194</v>
      </c>
      <c r="B64" t="str">
        <f>'[2]Knjiga_U-RA'!$G$21</f>
        <v xml:space="preserve">POREZNA OSNOVICA </v>
      </c>
      <c r="C64" t="s">
        <v>451</v>
      </c>
      <c r="D64" t="s">
        <v>25</v>
      </c>
    </row>
    <row r="65" spans="1:4" x14ac:dyDescent="0.2">
      <c r="A65" t="s">
        <v>195</v>
      </c>
      <c r="B65" s="46">
        <v>0.05</v>
      </c>
      <c r="C65" s="46">
        <v>0.05</v>
      </c>
      <c r="D65" s="46">
        <v>0.05</v>
      </c>
    </row>
    <row r="66" spans="1:4" x14ac:dyDescent="0.2">
      <c r="A66" t="s">
        <v>196</v>
      </c>
      <c r="B66" s="46">
        <v>0.1</v>
      </c>
      <c r="C66" s="46">
        <v>0.1</v>
      </c>
      <c r="D66" s="46">
        <v>0.1</v>
      </c>
    </row>
    <row r="67" spans="1:4" x14ac:dyDescent="0.2">
      <c r="A67" t="s">
        <v>197</v>
      </c>
      <c r="B67" s="46">
        <v>0.25</v>
      </c>
      <c r="C67" s="46">
        <v>0.25</v>
      </c>
      <c r="D67" s="46">
        <v>0.25</v>
      </c>
    </row>
    <row r="68" spans="1:4" x14ac:dyDescent="0.2">
      <c r="A68" t="s">
        <v>198</v>
      </c>
      <c r="B68" t="str">
        <f>'[2]Knjiga_U-RA'!$J$21</f>
        <v>UKUPNI IZNOS RAČUNA S PDV-om</v>
      </c>
      <c r="C68" t="s">
        <v>491</v>
      </c>
      <c r="D68" t="s">
        <v>31</v>
      </c>
    </row>
    <row r="69" spans="1:4" x14ac:dyDescent="0.2">
      <c r="A69" t="s">
        <v>199</v>
      </c>
      <c r="B69" t="str">
        <f>'[2]Knjiga_U-RA'!$K$21</f>
        <v>OSLOBOĐENO POREZA / NEOPOREZIVO</v>
      </c>
      <c r="C69" t="s">
        <v>447</v>
      </c>
      <c r="D69" t="s">
        <v>18</v>
      </c>
    </row>
    <row r="70" spans="1:4" x14ac:dyDescent="0.2">
      <c r="A70" t="s">
        <v>200</v>
      </c>
      <c r="B70" t="str">
        <f>'[2]Knjiga_U-RA'!$M$19</f>
        <v xml:space="preserve">POREZ </v>
      </c>
      <c r="C70" t="s">
        <v>444</v>
      </c>
      <c r="D70" t="s">
        <v>26</v>
      </c>
    </row>
    <row r="71" spans="1:4" x14ac:dyDescent="0.2">
      <c r="A71" t="s">
        <v>201</v>
      </c>
      <c r="B71" s="46">
        <v>0.05</v>
      </c>
      <c r="C71" s="46">
        <v>0.05</v>
      </c>
      <c r="D71" s="46">
        <v>0.05</v>
      </c>
    </row>
    <row r="72" spans="1:4" x14ac:dyDescent="0.2">
      <c r="A72" t="s">
        <v>202</v>
      </c>
      <c r="B72" t="str">
        <f>'[2]Knjiga_U-RA'!$M$23</f>
        <v xml:space="preserve">MOŽE SE ODBITI  </v>
      </c>
      <c r="C72" t="s">
        <v>448</v>
      </c>
      <c r="D72" t="s">
        <v>32</v>
      </c>
    </row>
    <row r="73" spans="1:4" x14ac:dyDescent="0.2">
      <c r="A73" t="s">
        <v>203</v>
      </c>
      <c r="B73" t="str">
        <f>'[2]Knjiga_U-RA'!$N$23</f>
        <v xml:space="preserve">NE MOŽE SE ODBIT </v>
      </c>
      <c r="C73" t="s">
        <v>449</v>
      </c>
      <c r="D73" t="s">
        <v>33</v>
      </c>
    </row>
    <row r="74" spans="1:4" x14ac:dyDescent="0.2">
      <c r="A74" t="s">
        <v>204</v>
      </c>
      <c r="B74" s="46">
        <v>0.13</v>
      </c>
      <c r="C74" s="46">
        <v>0.13</v>
      </c>
      <c r="D74" s="46">
        <v>0.13</v>
      </c>
    </row>
    <row r="75" spans="1:4" x14ac:dyDescent="0.2">
      <c r="A75" t="s">
        <v>205</v>
      </c>
      <c r="B75" t="str">
        <f t="shared" ref="B75:B76" si="2">B72</f>
        <v xml:space="preserve">MOŽE SE ODBITI  </v>
      </c>
      <c r="C75" t="s">
        <v>448</v>
      </c>
      <c r="D75" t="s">
        <v>32</v>
      </c>
    </row>
    <row r="76" spans="1:4" x14ac:dyDescent="0.2">
      <c r="A76" t="s">
        <v>206</v>
      </c>
      <c r="B76" t="str">
        <f t="shared" si="2"/>
        <v xml:space="preserve">NE MOŽE SE ODBIT </v>
      </c>
      <c r="C76" t="s">
        <v>449</v>
      </c>
      <c r="D76" t="s">
        <v>33</v>
      </c>
    </row>
    <row r="77" spans="1:4" x14ac:dyDescent="0.2">
      <c r="A77" t="s">
        <v>207</v>
      </c>
      <c r="B77" s="46">
        <v>0.25</v>
      </c>
      <c r="C77" s="46">
        <v>0.25</v>
      </c>
      <c r="D77" s="46">
        <v>0.25</v>
      </c>
    </row>
    <row r="78" spans="1:4" x14ac:dyDescent="0.2">
      <c r="A78" t="s">
        <v>208</v>
      </c>
      <c r="B78" t="str">
        <f t="shared" ref="B78:B79" si="3">B75</f>
        <v xml:space="preserve">MOŽE SE ODBITI  </v>
      </c>
      <c r="C78" t="s">
        <v>448</v>
      </c>
      <c r="D78" t="s">
        <v>32</v>
      </c>
    </row>
    <row r="79" spans="1:4" x14ac:dyDescent="0.2">
      <c r="A79" t="s">
        <v>209</v>
      </c>
      <c r="B79" t="str">
        <f t="shared" si="3"/>
        <v xml:space="preserve">NE MOŽE SE ODBIT </v>
      </c>
      <c r="C79" t="s">
        <v>449</v>
      </c>
      <c r="D79" t="s">
        <v>33</v>
      </c>
    </row>
    <row r="80" spans="1:4" x14ac:dyDescent="0.2">
      <c r="A80" t="s">
        <v>423</v>
      </c>
      <c r="B80" t="s">
        <v>424</v>
      </c>
      <c r="C80" t="s">
        <v>446</v>
      </c>
      <c r="D80" t="s">
        <v>425</v>
      </c>
    </row>
    <row r="82" spans="1:4" x14ac:dyDescent="0.2">
      <c r="A82" t="s">
        <v>147</v>
      </c>
      <c r="B82" t="s">
        <v>319</v>
      </c>
      <c r="C82" t="s">
        <v>358</v>
      </c>
      <c r="D82" t="s">
        <v>55</v>
      </c>
    </row>
    <row r="83" spans="1:4" ht="25.5" x14ac:dyDescent="0.2">
      <c r="A83" t="s">
        <v>214</v>
      </c>
      <c r="B83" s="32" t="s">
        <v>320</v>
      </c>
      <c r="C83" t="s">
        <v>489</v>
      </c>
      <c r="D83" s="32" t="s">
        <v>56</v>
      </c>
    </row>
    <row r="84" spans="1:4" ht="25.5" x14ac:dyDescent="0.2">
      <c r="A84" t="s">
        <v>215</v>
      </c>
      <c r="B84" s="32" t="s">
        <v>321</v>
      </c>
      <c r="C84" s="32" t="s">
        <v>490</v>
      </c>
      <c r="D84" s="32" t="s">
        <v>57</v>
      </c>
    </row>
    <row r="85" spans="1:4" x14ac:dyDescent="0.2">
      <c r="A85" t="s">
        <v>216</v>
      </c>
      <c r="B85" t="s">
        <v>322</v>
      </c>
      <c r="C85" t="s">
        <v>141</v>
      </c>
      <c r="D85" t="s">
        <v>357</v>
      </c>
    </row>
    <row r="86" spans="1:4" ht="25.5" x14ac:dyDescent="0.2">
      <c r="A86" t="s">
        <v>217</v>
      </c>
      <c r="B86" t="s">
        <v>323</v>
      </c>
      <c r="C86" s="32" t="s">
        <v>142</v>
      </c>
      <c r="D86" t="s">
        <v>84</v>
      </c>
    </row>
    <row r="87" spans="1:4" x14ac:dyDescent="0.2">
      <c r="A87" t="s">
        <v>218</v>
      </c>
      <c r="B87" t="s">
        <v>324</v>
      </c>
      <c r="C87" t="s">
        <v>143</v>
      </c>
      <c r="D87" t="s">
        <v>99</v>
      </c>
    </row>
    <row r="88" spans="1:4" ht="12.75" customHeight="1" x14ac:dyDescent="0.2">
      <c r="A88" t="s">
        <v>219</v>
      </c>
      <c r="B88" t="str">
        <f>CONCATENATE("PRIJAVA PDV-a ZA RAZDOBLJE OD",NASLOV!B13," DO ",NASLOV!C13,NASLOV!D13," GODINE")</f>
        <v>PRIJAVA PDV-a ZA RAZDOBLJE OD01.07. DO 31.07.2020 GODINE</v>
      </c>
      <c r="C88" s="48" t="str">
        <f>CONCATENATE("UMSATZSTEUERVORANMELDUNG FÜR DEN ZEITRAUM VON ",NASLOV!B13," BIS ",NASLOV!C13,NASLOV!D13)</f>
        <v>UMSATZSTEUERVORANMELDUNG FÜR DEN ZEITRAUM VON 01.07. BIS 31.07.2020</v>
      </c>
      <c r="D88" s="32" t="str">
        <f>CONCATENATE("VAT RETURN FOR THE PERIOD FROM ",NASLOV!B13," UNTIL ",NASLOV!C13,NASLOV!D13)</f>
        <v>VAT RETURN FOR THE PERIOD FROM 01.07. UNTIL 31.07.2020</v>
      </c>
    </row>
    <row r="89" spans="1:4" ht="12.75" customHeight="1" x14ac:dyDescent="0.2">
      <c r="A89" t="s">
        <v>220</v>
      </c>
      <c r="B89" s="32" t="s">
        <v>325</v>
      </c>
      <c r="C89" s="32" t="s">
        <v>144</v>
      </c>
      <c r="D89" s="32" t="s">
        <v>58</v>
      </c>
    </row>
    <row r="90" spans="1:4" ht="12.75" customHeight="1" x14ac:dyDescent="0.2">
      <c r="A90" t="s">
        <v>221</v>
      </c>
      <c r="B90" t="s">
        <v>326</v>
      </c>
      <c r="C90" t="s">
        <v>145</v>
      </c>
      <c r="D90" t="s">
        <v>59</v>
      </c>
    </row>
    <row r="91" spans="1:4" ht="12.75" customHeight="1" x14ac:dyDescent="0.2">
      <c r="A91" t="s">
        <v>222</v>
      </c>
      <c r="B91" t="str">
        <f>[3]PDV!$G$8</f>
        <v>PDV PO STOPI 5%, 13% i 25% 
(iznos u kunama i lipama)</v>
      </c>
      <c r="C91" t="s">
        <v>146</v>
      </c>
      <c r="D91" t="s">
        <v>98</v>
      </c>
    </row>
    <row r="92" spans="1:4" ht="12.75" customHeight="1" x14ac:dyDescent="0.2">
      <c r="A92" t="s">
        <v>223</v>
      </c>
      <c r="B92" s="47" t="str">
        <f>[3]PDV!$A$9</f>
        <v xml:space="preserve"> OBRAČUN PDV-a U OBALJENIM TRANSAKCIJAMA
 DOBARA I USLUGA - UKUPNO (I. + II.)</v>
      </c>
      <c r="C92" t="s">
        <v>359</v>
      </c>
      <c r="D92" s="47" t="s">
        <v>63</v>
      </c>
    </row>
    <row r="93" spans="1:4" ht="13.5" customHeight="1" x14ac:dyDescent="0.2">
      <c r="A93" t="s">
        <v>224</v>
      </c>
      <c r="B93" t="str">
        <f>[3]PDV!$A$10</f>
        <v xml:space="preserve"> I. TRANSAKCIJE KOJE NE PODLIJEŽU OPOREZIVANJU I        OSLOBOĐENE - UKUPNO (1.+2.+3.+4.+5.+6.+7.+8.+9.+10.)</v>
      </c>
      <c r="C93" t="s">
        <v>360</v>
      </c>
      <c r="D93" t="s">
        <v>60</v>
      </c>
    </row>
    <row r="94" spans="1:4" ht="12.75" customHeight="1" x14ac:dyDescent="0.2">
      <c r="A94" t="s">
        <v>225</v>
      </c>
      <c r="B94" t="str">
        <f>[3]PDV!$A$11</f>
        <v>1. ISPORUKE U RH ZA KOJE PDV OBRAČUNAVA PRIMATELJ (tuzemni prijenos porezne obveze)</v>
      </c>
      <c r="C94" s="47" t="s">
        <v>361</v>
      </c>
      <c r="D94" t="s">
        <v>103</v>
      </c>
    </row>
    <row r="95" spans="1:4" ht="12.75" customHeight="1" x14ac:dyDescent="0.2">
      <c r="A95" t="s">
        <v>226</v>
      </c>
      <c r="B95" t="str">
        <f>[3]PDV!$A$12</f>
        <v>2.ISPORUKE DOBARA OBAVLJENE U DRUGIM DRŽAVAMA 
ČLANICAMA</v>
      </c>
      <c r="C95" t="s">
        <v>362</v>
      </c>
      <c r="D95" t="s">
        <v>61</v>
      </c>
    </row>
    <row r="96" spans="1:4" x14ac:dyDescent="0.2">
      <c r="A96" t="s">
        <v>227</v>
      </c>
      <c r="B96" t="str">
        <f>[3]PDV!$A$13</f>
        <v>3. ISPORUKE DOBARA UNUTAR EU</v>
      </c>
      <c r="C96" t="s">
        <v>363</v>
      </c>
      <c r="D96" t="s">
        <v>85</v>
      </c>
    </row>
    <row r="97" spans="1:4" x14ac:dyDescent="0.2">
      <c r="A97" t="s">
        <v>228</v>
      </c>
      <c r="B97" t="str">
        <f>[3]PDV!$A$14</f>
        <v>4. OBAVLJENE USLUGE UNUTAR EU</v>
      </c>
      <c r="C97" t="s">
        <v>364</v>
      </c>
      <c r="D97" t="s">
        <v>86</v>
      </c>
    </row>
    <row r="98" spans="1:4" x14ac:dyDescent="0.2">
      <c r="A98" t="s">
        <v>229</v>
      </c>
      <c r="B98" t="str">
        <f>[3]PDV!$A$15</f>
        <v>5. OBAVLJENE USLUGE OSOBAMA BEZ SJEDIŠTA U RH</v>
      </c>
      <c r="C98" t="s">
        <v>365</v>
      </c>
      <c r="D98" t="s">
        <v>87</v>
      </c>
    </row>
    <row r="99" spans="1:4" ht="12.75" customHeight="1" x14ac:dyDescent="0.2">
      <c r="A99" t="s">
        <v>230</v>
      </c>
      <c r="B99" t="str">
        <f>[3]PDV!$A$16</f>
        <v>6. SASTAVLJANJE I POSTAVLJANJE DOBARA U DRUGOJ
DRŽAVI ČLANICI EU</v>
      </c>
      <c r="C99" t="s">
        <v>366</v>
      </c>
      <c r="D99" t="s">
        <v>62</v>
      </c>
    </row>
    <row r="100" spans="1:4" x14ac:dyDescent="0.2">
      <c r="A100" t="s">
        <v>231</v>
      </c>
      <c r="B100" t="str">
        <f>[3]PDV!$A$17</f>
        <v>7. ISPORUKE NOVIH PRIJEVOZNIH SREDSTAVA U EU</v>
      </c>
      <c r="C100" t="s">
        <v>367</v>
      </c>
      <c r="D100" t="s">
        <v>88</v>
      </c>
    </row>
    <row r="101" spans="1:4" x14ac:dyDescent="0.2">
      <c r="A101" t="s">
        <v>232</v>
      </c>
      <c r="B101" t="str">
        <f>[3]PDV!$A$18</f>
        <v>8. TUZEMNE ISPORUKE</v>
      </c>
      <c r="C101" t="s">
        <v>368</v>
      </c>
      <c r="D101" t="s">
        <v>64</v>
      </c>
    </row>
    <row r="102" spans="1:4" x14ac:dyDescent="0.2">
      <c r="A102" t="s">
        <v>233</v>
      </c>
      <c r="B102" t="str">
        <f>[3]PDV!$A$19</f>
        <v>9. IZVOZNE ISPORUKE</v>
      </c>
      <c r="C102" t="s">
        <v>369</v>
      </c>
      <c r="D102" t="s">
        <v>102</v>
      </c>
    </row>
    <row r="103" spans="1:4" x14ac:dyDescent="0.2">
      <c r="A103" t="s">
        <v>234</v>
      </c>
      <c r="B103" t="str">
        <f>[3]PDV!$A$20</f>
        <v>10. OSTALA OSLOBOĐENJA</v>
      </c>
      <c r="C103" t="s">
        <v>370</v>
      </c>
      <c r="D103" t="s">
        <v>67</v>
      </c>
    </row>
    <row r="104" spans="1:4" ht="12.75" customHeight="1" x14ac:dyDescent="0.2">
      <c r="A104" t="s">
        <v>235</v>
      </c>
      <c r="B104" t="str">
        <f>[3]PDV!$A$21</f>
        <v>II. OPOREZIVE TRANSAKCIJE - UKUPNO
(1.+2.+3.+4.+5.+6.+7.+8.+9.+10.+11.+12.+13.+14.+15.)</v>
      </c>
      <c r="C104" t="s">
        <v>371</v>
      </c>
      <c r="D104" t="s">
        <v>65</v>
      </c>
    </row>
    <row r="105" spans="1:4" x14ac:dyDescent="0.2">
      <c r="A105" t="s">
        <v>236</v>
      </c>
      <c r="B105" t="str">
        <f>[3]PDV!$A$22</f>
        <v>1. ISPORUKE DOBARA I USLUGA U RH PO STOPI 5%</v>
      </c>
      <c r="C105" t="s">
        <v>372</v>
      </c>
      <c r="D105" t="s">
        <v>89</v>
      </c>
    </row>
    <row r="106" spans="1:4" x14ac:dyDescent="0.2">
      <c r="A106" t="s">
        <v>237</v>
      </c>
      <c r="B106" t="str">
        <f>[3]PDV!$A$23</f>
        <v>2. ISPORUKE DOBARA I USLUGA U RH PO STOPI 13%</v>
      </c>
      <c r="C106" t="s">
        <v>373</v>
      </c>
      <c r="D106" t="s">
        <v>105</v>
      </c>
    </row>
    <row r="107" spans="1:4" x14ac:dyDescent="0.2">
      <c r="A107" t="s">
        <v>238</v>
      </c>
      <c r="B107" t="str">
        <f>[3]PDV!$A$24</f>
        <v>3. ISPORUKE DOBARA I USLUGA U RH PO STOPI 25%</v>
      </c>
      <c r="C107" t="s">
        <v>374</v>
      </c>
      <c r="D107" t="s">
        <v>210</v>
      </c>
    </row>
    <row r="108" spans="1:4" ht="12.75" customHeight="1" x14ac:dyDescent="0.2">
      <c r="A108" t="s">
        <v>239</v>
      </c>
      <c r="B108" t="str">
        <f>[3]PDV!$A$25</f>
        <v>4. PRIMLJENE ISPORUKE U RH ZA KOJE PDV OBRAČUNAVA 
PRIMATELJ (tuzemni prijenos porezne obveze)</v>
      </c>
      <c r="C108" t="s">
        <v>375</v>
      </c>
      <c r="D108" t="s">
        <v>211</v>
      </c>
    </row>
    <row r="109" spans="1:4" x14ac:dyDescent="0.2">
      <c r="A109" t="s">
        <v>240</v>
      </c>
      <c r="B109" t="str">
        <f>[3]PDV!$A$26</f>
        <v>5. STJECANJE DOBARA UNUTAR EU PO STOPI 5%</v>
      </c>
      <c r="C109" t="s">
        <v>376</v>
      </c>
      <c r="D109" t="s">
        <v>90</v>
      </c>
    </row>
    <row r="110" spans="1:4" x14ac:dyDescent="0.2">
      <c r="A110" t="s">
        <v>241</v>
      </c>
      <c r="B110" t="str">
        <f>[3]PDV!$A$27</f>
        <v>6. STJECANJE DOBARA UNUTAR EU PO STOPI 13%</v>
      </c>
      <c r="C110" t="s">
        <v>377</v>
      </c>
      <c r="D110" t="s">
        <v>106</v>
      </c>
    </row>
    <row r="111" spans="1:4" x14ac:dyDescent="0.2">
      <c r="A111" t="s">
        <v>242</v>
      </c>
      <c r="B111" t="str">
        <f>[3]PDV!$A$28</f>
        <v>7. STJECANJE DOBARA UNUTAR EU PO STOPI 25%</v>
      </c>
      <c r="C111" t="s">
        <v>378</v>
      </c>
      <c r="D111" t="s">
        <v>66</v>
      </c>
    </row>
    <row r="112" spans="1:4" x14ac:dyDescent="0.2">
      <c r="A112" t="s">
        <v>243</v>
      </c>
      <c r="B112" t="str">
        <f>[3]PDV!$A$29</f>
        <v>8. PRIMLJENE USLUGE IZ EU PO STOPI 5%</v>
      </c>
      <c r="C112" t="s">
        <v>379</v>
      </c>
      <c r="D112" t="s">
        <v>91</v>
      </c>
    </row>
    <row r="113" spans="1:4" x14ac:dyDescent="0.2">
      <c r="A113" t="s">
        <v>244</v>
      </c>
      <c r="B113" t="str">
        <f>[3]PDV!$A$30</f>
        <v>9. PRIMLJENE USLUGE IZ EU PO STOPI 13%</v>
      </c>
      <c r="C113" t="s">
        <v>380</v>
      </c>
      <c r="D113" t="s">
        <v>101</v>
      </c>
    </row>
    <row r="114" spans="1:4" x14ac:dyDescent="0.2">
      <c r="A114" t="s">
        <v>245</v>
      </c>
      <c r="B114" t="str">
        <f>[3]PDV!$A$31</f>
        <v>10. PRIMLJENE USLUGE IZ EU PO STOPI 25%</v>
      </c>
      <c r="C114" t="s">
        <v>381</v>
      </c>
      <c r="D114" t="s">
        <v>92</v>
      </c>
    </row>
    <row r="115" spans="1:4" ht="12.75" customHeight="1" x14ac:dyDescent="0.2">
      <c r="A115" t="s">
        <v>246</v>
      </c>
      <c r="B115" t="str">
        <f>[3]PDV!$A$32</f>
        <v>11. PRIMLJENE ISPORUKE DOBARA I USLUGA OD 
POREZNIH OBVEZNIKA BEZ SJEDIŠTA U RH PO STOPI 5%</v>
      </c>
      <c r="C115" t="s">
        <v>382</v>
      </c>
      <c r="D115" t="s">
        <v>125</v>
      </c>
    </row>
    <row r="116" spans="1:4" ht="12.75" customHeight="1" x14ac:dyDescent="0.2">
      <c r="A116" t="s">
        <v>247</v>
      </c>
      <c r="B116" t="str">
        <f>[3]PDV!$A$33</f>
        <v>12. PRIMLJENE ISPORUKE DOBARA I USLUGA OD 
POREZNIH OBVEZNIKA BEZ SJEDIŠTA U RH PO STOPI 13%</v>
      </c>
      <c r="C116" t="s">
        <v>383</v>
      </c>
      <c r="D116" t="s">
        <v>107</v>
      </c>
    </row>
    <row r="117" spans="1:4" ht="12.75" customHeight="1" x14ac:dyDescent="0.2">
      <c r="A117" t="s">
        <v>248</v>
      </c>
      <c r="B117" t="str">
        <f>[3]PDV!$A$34</f>
        <v>13. PRIMLJENE ISPORUKE DOBARA I USLUGA OD 
POREZNIH OBVEZNIKA BEZ SJEDIŠTA U RH PO STOPI 25%</v>
      </c>
      <c r="C117" t="s">
        <v>384</v>
      </c>
      <c r="D117" t="s">
        <v>108</v>
      </c>
    </row>
    <row r="118" spans="1:4" ht="12.75" customHeight="1" x14ac:dyDescent="0.2">
      <c r="A118" t="s">
        <v>249</v>
      </c>
      <c r="B118" t="str">
        <f>[3]PDV!$A$35</f>
        <v>14. NAKNADNO OSLOBOĐENJE IZVOZA U OKVIRU 
OSOBNOG PUTNIČKOG PROMETA</v>
      </c>
      <c r="C118" t="s">
        <v>385</v>
      </c>
      <c r="D118" t="s">
        <v>109</v>
      </c>
    </row>
    <row r="119" spans="1:4" x14ac:dyDescent="0.2">
      <c r="A119" t="s">
        <v>250</v>
      </c>
      <c r="B119" t="str">
        <f>[3]PDV!$A$36</f>
        <v>15. OBRAČUNANI PDV PRI UVOZU</v>
      </c>
      <c r="C119" t="s">
        <v>386</v>
      </c>
      <c r="D119" t="s">
        <v>110</v>
      </c>
    </row>
    <row r="120" spans="1:4" ht="12.75" customHeight="1" x14ac:dyDescent="0.2">
      <c r="A120" t="s">
        <v>251</v>
      </c>
      <c r="B120" t="str">
        <f>[3]PDV!$A$37</f>
        <v>III. OBRAČUNANI PRETPOREZ - UKUPNO 
(1.+2.+.3.+4.+5.+6.+7.+8.+9.+10.+11.+12.+13.+14.+15.)</v>
      </c>
      <c r="C120" t="s">
        <v>387</v>
      </c>
      <c r="D120" t="s">
        <v>93</v>
      </c>
    </row>
    <row r="121" spans="1:4" ht="12.75" customHeight="1" x14ac:dyDescent="0.2">
      <c r="A121" t="s">
        <v>252</v>
      </c>
      <c r="B121" t="str">
        <f>[3]PDV!$A$38</f>
        <v>1. PRETPOREZ OD PRIMLJENIH ISPORUKA U TUZEMSTVO po stopi od 5%</v>
      </c>
      <c r="C121" t="s">
        <v>388</v>
      </c>
      <c r="D121" t="s">
        <v>111</v>
      </c>
    </row>
    <row r="122" spans="1:4" x14ac:dyDescent="0.2">
      <c r="A122" t="s">
        <v>253</v>
      </c>
      <c r="B122" t="str">
        <f>[3]PDV!$A$39</f>
        <v>2. PRETPOREZ OD PRIMLJENIH ISPORUKA U TUZEMSTVO po stopi od 13%</v>
      </c>
      <c r="C122" t="s">
        <v>389</v>
      </c>
      <c r="D122" t="s">
        <v>112</v>
      </c>
    </row>
    <row r="123" spans="1:4" x14ac:dyDescent="0.2">
      <c r="A123" t="s">
        <v>254</v>
      </c>
      <c r="B123" t="str">
        <f>[3]PDV!$A$40</f>
        <v>3. PRETPOREZ OD PRIMLJENIH ISPORUKA U TUZEMSTVO po stopi od 25%</v>
      </c>
      <c r="C123" t="s">
        <v>390</v>
      </c>
      <c r="D123" t="s">
        <v>113</v>
      </c>
    </row>
    <row r="124" spans="1:4" ht="12.75" customHeight="1" x14ac:dyDescent="0.2">
      <c r="A124" t="s">
        <v>255</v>
      </c>
      <c r="B124" t="str">
        <f>[3]PDV!$A$41</f>
        <v>4. PRETPOREZ OD PRIMLJENIH ISPORUKA U RH ZA KOJE
PDV OBRAČUNAVA PRIMATELJ
(tuzemni prijenos porezne obveze)</v>
      </c>
      <c r="C124" t="s">
        <v>391</v>
      </c>
      <c r="D124" t="s">
        <v>212</v>
      </c>
    </row>
    <row r="125" spans="1:4" x14ac:dyDescent="0.2">
      <c r="A125" t="s">
        <v>256</v>
      </c>
      <c r="B125" t="str">
        <f>[3]PDV!$A$42</f>
        <v>5. PRETPOREZ OD STJECANJA DOBARA UNUTAR EU po stopi od 5%</v>
      </c>
      <c r="C125" t="s">
        <v>392</v>
      </c>
      <c r="D125" t="s">
        <v>114</v>
      </c>
    </row>
    <row r="126" spans="1:4" x14ac:dyDescent="0.2">
      <c r="A126" t="s">
        <v>257</v>
      </c>
      <c r="B126" t="str">
        <f>[3]PDV!$A$43</f>
        <v>6. PRETPOREZ OD STJECANJA DOBARA UNUTAR EU po stopi od 13%</v>
      </c>
      <c r="C126" t="s">
        <v>393</v>
      </c>
      <c r="D126" t="s">
        <v>115</v>
      </c>
    </row>
    <row r="127" spans="1:4" x14ac:dyDescent="0.2">
      <c r="A127" t="s">
        <v>258</v>
      </c>
      <c r="B127" t="str">
        <f>[3]PDV!$A$44</f>
        <v>7. PRETPOREZ OD STJECANJA DOBARA UNUTAR EU po stopi od 25%</v>
      </c>
      <c r="C127" t="s">
        <v>394</v>
      </c>
      <c r="D127" t="s">
        <v>116</v>
      </c>
    </row>
    <row r="128" spans="1:4" x14ac:dyDescent="0.2">
      <c r="A128" t="s">
        <v>259</v>
      </c>
      <c r="B128" t="str">
        <f>[3]PDV!$A$45</f>
        <v>8.PRETPOREU OD PRIMLJENIH USLUGA IZ EU po stopi od 5%</v>
      </c>
      <c r="C128" t="s">
        <v>395</v>
      </c>
      <c r="D128" t="s">
        <v>117</v>
      </c>
    </row>
    <row r="129" spans="1:4" x14ac:dyDescent="0.2">
      <c r="A129" t="s">
        <v>260</v>
      </c>
      <c r="B129" t="str">
        <f>[3]PDV!$A$46</f>
        <v>9.PRETPOREZ OD PRIMLJENIH USLUGA IZ EU po stopi od 13%</v>
      </c>
      <c r="C129" t="s">
        <v>396</v>
      </c>
      <c r="D129" t="s">
        <v>118</v>
      </c>
    </row>
    <row r="130" spans="1:4" x14ac:dyDescent="0.2">
      <c r="A130" t="s">
        <v>261</v>
      </c>
      <c r="B130" t="str">
        <f>[3]PDV!$A$47</f>
        <v>10.PRETPOREZ OD PRIMLJENIH USLUGA IZ EU po stopi 25%</v>
      </c>
      <c r="C130" t="s">
        <v>397</v>
      </c>
      <c r="D130" t="s">
        <v>119</v>
      </c>
    </row>
    <row r="131" spans="1:4" ht="12.75" customHeight="1" x14ac:dyDescent="0.2">
      <c r="A131" t="s">
        <v>262</v>
      </c>
      <c r="B131" t="str">
        <f>[3]PDV!$A$48</f>
        <v>11. PRIMLJENE ISPORUKE DOBARA I USLUGA OD 
POREZNIH OBVEZNIKA BEZ SJEDIŠTA U RH PO STOPI 5%</v>
      </c>
      <c r="C131" t="s">
        <v>398</v>
      </c>
      <c r="D131" t="s">
        <v>120</v>
      </c>
    </row>
    <row r="132" spans="1:4" ht="12.75" customHeight="1" x14ac:dyDescent="0.2">
      <c r="A132" t="s">
        <v>263</v>
      </c>
      <c r="B132" t="str">
        <f>[3]PDV!$A$49</f>
        <v>12. PRIMLJENE ISPORUKE DOBARA I USLUGA OD 
POREZNIH OBVEZNIKA BEZ SJEDIŠTA U RH PO STOPI 13%</v>
      </c>
      <c r="C132" t="s">
        <v>399</v>
      </c>
      <c r="D132" t="s">
        <v>121</v>
      </c>
    </row>
    <row r="133" spans="1:4" ht="12.75" customHeight="1" x14ac:dyDescent="0.2">
      <c r="A133" t="s">
        <v>264</v>
      </c>
      <c r="B133" t="str">
        <f>[3]PDV!$A$50</f>
        <v>13. PRIMLJENE ISPORUKE DOBARA I USLUGA OD 
POREZNIH OBVEZNIKA BEZ SJEDIŠTA U RH PO STOPI 25%</v>
      </c>
      <c r="C133" t="s">
        <v>400</v>
      </c>
      <c r="D133" t="s">
        <v>122</v>
      </c>
    </row>
    <row r="134" spans="1:4" x14ac:dyDescent="0.2">
      <c r="A134" t="s">
        <v>265</v>
      </c>
      <c r="B134" t="str">
        <f>[3]PDV!$A$51</f>
        <v>14.PRETPOREZ PRI UVOZU</v>
      </c>
      <c r="C134" t="s">
        <v>401</v>
      </c>
      <c r="D134" t="s">
        <v>123</v>
      </c>
    </row>
    <row r="135" spans="1:4" x14ac:dyDescent="0.2">
      <c r="A135" t="s">
        <v>266</v>
      </c>
      <c r="B135" t="str">
        <f>[3]PDV!$A$52</f>
        <v>15.ISPRAVCI PRETPOREZA</v>
      </c>
      <c r="C135" t="s">
        <v>402</v>
      </c>
      <c r="D135" t="s">
        <v>124</v>
      </c>
    </row>
    <row r="136" spans="1:4" x14ac:dyDescent="0.2">
      <c r="A136" t="s">
        <v>267</v>
      </c>
      <c r="B136" t="str">
        <f>[3]PDV!$A$53</f>
        <v>IV. OBVEZA PDV-a U OBRAČUNSKOM RAZDOBLJU:
ZA UPLATU (II.-III.) ILI ZA POVRAT (III.-II.)</v>
      </c>
      <c r="C136" t="s">
        <v>403</v>
      </c>
      <c r="D136" t="s">
        <v>68</v>
      </c>
    </row>
    <row r="137" spans="1:4" ht="12.75" customHeight="1" x14ac:dyDescent="0.2">
      <c r="A137" t="s">
        <v>268</v>
      </c>
      <c r="B137" t="str">
        <f>[3]PDV!$A$54</f>
        <v>V. PO PRETHODNOM OBRAČUNU: NEUPLAĆENI PDV DO DANA
PODNOŠENJA OVE PRIJAVE - VIŠE UPLAĆENO - POREZNI KREDIT</v>
      </c>
      <c r="C137" t="s">
        <v>404</v>
      </c>
      <c r="D137" t="s">
        <v>213</v>
      </c>
    </row>
    <row r="138" spans="1:4" x14ac:dyDescent="0.2">
      <c r="A138" t="s">
        <v>269</v>
      </c>
      <c r="B138" t="str">
        <f>[3]PDV!$A$55</f>
        <v>VI. UKUPNO RAZLIKA: ZA UPLATU/ZA POVRAT</v>
      </c>
      <c r="C138" t="s">
        <v>405</v>
      </c>
      <c r="D138" t="s">
        <v>94</v>
      </c>
    </row>
    <row r="139" spans="1:4" x14ac:dyDescent="0.2">
      <c r="A139" t="s">
        <v>270</v>
      </c>
      <c r="B139" t="str">
        <f>[3]PDV!$A$57</f>
        <v>VII. IZNOS GODIŠNJEG RAZMJERNOG 
ODBITKA PRETPOREZA (%)</v>
      </c>
      <c r="C139" t="s">
        <v>406</v>
      </c>
      <c r="D139" t="s">
        <v>95</v>
      </c>
    </row>
    <row r="140" spans="1:4" x14ac:dyDescent="0.2">
      <c r="A140" t="s">
        <v>271</v>
      </c>
      <c r="D140" t="s">
        <v>96</v>
      </c>
    </row>
    <row r="141" spans="1:4" x14ac:dyDescent="0.2">
      <c r="A141" t="s">
        <v>272</v>
      </c>
      <c r="D141" t="s">
        <v>69</v>
      </c>
    </row>
    <row r="142" spans="1:4" x14ac:dyDescent="0.2">
      <c r="A142" t="s">
        <v>273</v>
      </c>
      <c r="D142" t="s">
        <v>97</v>
      </c>
    </row>
    <row r="143" spans="1:4" x14ac:dyDescent="0.2">
      <c r="A143" t="s">
        <v>274</v>
      </c>
      <c r="D143" t="s">
        <v>70</v>
      </c>
    </row>
    <row r="144" spans="1:4" x14ac:dyDescent="0.2">
      <c r="A144" t="s">
        <v>275</v>
      </c>
      <c r="D144" t="s">
        <v>104</v>
      </c>
    </row>
    <row r="145" spans="1:4" x14ac:dyDescent="0.2">
      <c r="A145" t="s">
        <v>276</v>
      </c>
      <c r="D145" t="s">
        <v>71</v>
      </c>
    </row>
    <row r="149" spans="1:4" x14ac:dyDescent="0.2">
      <c r="A149" t="s">
        <v>277</v>
      </c>
      <c r="B149" t="str">
        <f>[4]ZP!$V$1</f>
        <v>OBRAZAC ZP</v>
      </c>
      <c r="C149" t="s">
        <v>480</v>
      </c>
      <c r="D149" t="s">
        <v>100</v>
      </c>
    </row>
    <row r="150" spans="1:4" x14ac:dyDescent="0.2">
      <c r="A150" t="s">
        <v>279</v>
      </c>
      <c r="B150" t="str">
        <f>[4]ZP!$A$3</f>
        <v>POREZNA UPRAVA</v>
      </c>
      <c r="C150" t="s">
        <v>492</v>
      </c>
      <c r="D150" t="s">
        <v>34</v>
      </c>
    </row>
    <row r="151" spans="1:4" x14ac:dyDescent="0.2">
      <c r="A151" t="s">
        <v>280</v>
      </c>
      <c r="B151" t="str">
        <f>[4]ZP!$A$4</f>
        <v>PODRUČNI URED</v>
      </c>
      <c r="C151" t="s">
        <v>493</v>
      </c>
      <c r="D151" t="s">
        <v>35</v>
      </c>
    </row>
    <row r="152" spans="1:4" x14ac:dyDescent="0.2">
      <c r="A152" t="s">
        <v>281</v>
      </c>
      <c r="B152" t="str">
        <f>[4]ZP!$O$3</f>
        <v>PDV identifikacijski broj          (3)</v>
      </c>
      <c r="C152" t="s">
        <v>455</v>
      </c>
      <c r="D152" t="s">
        <v>36</v>
      </c>
    </row>
    <row r="153" spans="1:4" x14ac:dyDescent="0.2">
      <c r="A153" t="s">
        <v>282</v>
      </c>
      <c r="B153" t="s">
        <v>1</v>
      </c>
      <c r="C153" t="s">
        <v>1</v>
      </c>
      <c r="D153" t="s">
        <v>1</v>
      </c>
    </row>
    <row r="154" spans="1:4" x14ac:dyDescent="0.2">
      <c r="A154" t="s">
        <v>283</v>
      </c>
      <c r="B154" t="str">
        <f>[4]ZP!$O$6</f>
        <v>Porezni obveznik                      (naziv/ime i prezime)          (4)</v>
      </c>
      <c r="C154" t="s">
        <v>456</v>
      </c>
      <c r="D154" t="s">
        <v>48</v>
      </c>
    </row>
    <row r="155" spans="1:4" x14ac:dyDescent="0.2">
      <c r="A155" t="s">
        <v>284</v>
      </c>
      <c r="B155" t="str">
        <f>[4]ZP!$O$9</f>
        <v>Adresa                      (mjesto, ulica i broj)              (5)</v>
      </c>
      <c r="C155" t="s">
        <v>457</v>
      </c>
      <c r="D155" t="s">
        <v>37</v>
      </c>
    </row>
    <row r="156" spans="1:4" x14ac:dyDescent="0.2">
      <c r="A156" t="s">
        <v>285</v>
      </c>
      <c r="B156" t="str">
        <f>[4]ZP!$O$12</f>
        <v>PDV identifikacijski broj          poreznog zastupnika               (6)</v>
      </c>
      <c r="C156" t="s">
        <v>497</v>
      </c>
      <c r="D156" t="s">
        <v>38</v>
      </c>
    </row>
    <row r="157" spans="1:4" x14ac:dyDescent="0.2">
      <c r="A157" t="s">
        <v>286</v>
      </c>
      <c r="B157" t="s">
        <v>1</v>
      </c>
      <c r="C157" t="s">
        <v>1</v>
      </c>
      <c r="D157" t="s">
        <v>1</v>
      </c>
    </row>
    <row r="158" spans="1:4" x14ac:dyDescent="0.2">
      <c r="A158" t="s">
        <v>287</v>
      </c>
      <c r="B158" t="str">
        <f>[4]ZP!$A$17</f>
        <v>ZBIRNA PRIJAVA</v>
      </c>
      <c r="C158" t="s">
        <v>478</v>
      </c>
      <c r="D158" t="s">
        <v>77</v>
      </c>
    </row>
    <row r="159" spans="1:4" x14ac:dyDescent="0.2">
      <c r="A159" t="s">
        <v>288</v>
      </c>
      <c r="B159" t="str">
        <f>[4]ZP!$A$18</f>
        <v>Zbirna prijava za isporuke dobara i usluga u druge države članice Europske unije</v>
      </c>
      <c r="C159" t="s">
        <v>479</v>
      </c>
      <c r="D159" t="s">
        <v>126</v>
      </c>
    </row>
    <row r="160" spans="1:4" x14ac:dyDescent="0.2">
      <c r="A160" t="s">
        <v>289</v>
      </c>
      <c r="B160" t="str">
        <f>[4]ZP!$A$22</f>
        <v>Red.            br.</v>
      </c>
      <c r="C160" t="s">
        <v>458</v>
      </c>
      <c r="D160" t="s">
        <v>39</v>
      </c>
    </row>
    <row r="161" spans="1:4" x14ac:dyDescent="0.2">
      <c r="A161" t="s">
        <v>290</v>
      </c>
      <c r="B161" t="str">
        <f>[4]ZP!$C$22</f>
        <v>Kôd države</v>
      </c>
      <c r="C161" t="s">
        <v>494</v>
      </c>
      <c r="D161" t="s">
        <v>78</v>
      </c>
    </row>
    <row r="162" spans="1:4" x14ac:dyDescent="0.2">
      <c r="A162" t="s">
        <v>291</v>
      </c>
      <c r="B162" t="str">
        <f>[4]ZP!$E$22</f>
        <v>PDV identifikacijski                     broj primatelja                                           (bez kôda države)</v>
      </c>
      <c r="C162" t="s">
        <v>463</v>
      </c>
      <c r="D162" t="s">
        <v>40</v>
      </c>
    </row>
    <row r="163" spans="1:4" x14ac:dyDescent="0.2">
      <c r="A163" t="s">
        <v>292</v>
      </c>
      <c r="B163" t="str">
        <f>[4]ZP!$I$22</f>
        <v>Vrijednost isporuke dobara                    (u kunama i lipama)</v>
      </c>
      <c r="C163" t="s">
        <v>464</v>
      </c>
      <c r="D163" t="s">
        <v>41</v>
      </c>
    </row>
    <row r="164" spans="1:4" x14ac:dyDescent="0.2">
      <c r="A164" t="s">
        <v>293</v>
      </c>
      <c r="B164" t="str">
        <f>[4]ZP!$M$22</f>
        <v>Vrijednost isporuke dobara u postupcima 42 i 63                                      (u kunama i lipama)</v>
      </c>
      <c r="C164" t="s">
        <v>465</v>
      </c>
      <c r="D164" t="s">
        <v>79</v>
      </c>
    </row>
    <row r="165" spans="1:4" x14ac:dyDescent="0.2">
      <c r="A165" t="s">
        <v>294</v>
      </c>
      <c r="B165" t="str">
        <f>[4]ZP!$Q$22</f>
        <v>Vrijednost isporuke dobara u okviru trostranog posla                   (u kunama i lipama)</v>
      </c>
      <c r="C165" t="s">
        <v>500</v>
      </c>
      <c r="D165" t="s">
        <v>80</v>
      </c>
    </row>
    <row r="166" spans="1:4" x14ac:dyDescent="0.2">
      <c r="A166" t="s">
        <v>295</v>
      </c>
      <c r="B166" t="str">
        <f>[4]ZP!$V$22</f>
        <v>Vrijednost obavljenih usluga                                            (u kunama i lipama)</v>
      </c>
      <c r="C166" t="s">
        <v>466</v>
      </c>
      <c r="D166" t="s">
        <v>42</v>
      </c>
    </row>
    <row r="167" spans="1:4" x14ac:dyDescent="0.2">
      <c r="A167" t="s">
        <v>296</v>
      </c>
      <c r="B167" s="49" t="str">
        <f>[4]ZP!$A$41</f>
        <v>Ukupna vrijednost</v>
      </c>
      <c r="C167" t="s">
        <v>459</v>
      </c>
      <c r="D167" t="s">
        <v>43</v>
      </c>
    </row>
    <row r="168" spans="1:4" x14ac:dyDescent="0.2">
      <c r="A168" t="s">
        <v>297</v>
      </c>
      <c r="B168" t="str">
        <f>[4]ZP!$A$46</f>
        <v>Potvrđujem istinitost navedenih podataka</v>
      </c>
      <c r="C168" t="s">
        <v>460</v>
      </c>
      <c r="D168" t="s">
        <v>44</v>
      </c>
    </row>
    <row r="169" spans="1:4" x14ac:dyDescent="0.2">
      <c r="A169" t="s">
        <v>298</v>
      </c>
      <c r="B169" t="str">
        <f>[4]ZP!$A$47</f>
        <v>Obračun sastavio                   (ime i prezime)                     (19)</v>
      </c>
      <c r="C169" t="s">
        <v>462</v>
      </c>
      <c r="D169" t="s">
        <v>45</v>
      </c>
    </row>
    <row r="170" spans="1:4" x14ac:dyDescent="0.2">
      <c r="A170" t="s">
        <v>299</v>
      </c>
      <c r="B170" t="str">
        <f>[4]ZP!$O$46</f>
        <v>Potpis                                                       (20)</v>
      </c>
      <c r="C170" t="s">
        <v>461</v>
      </c>
      <c r="D170" t="s">
        <v>46</v>
      </c>
    </row>
    <row r="171" spans="1:4" x14ac:dyDescent="0.2">
      <c r="A171" t="s">
        <v>300</v>
      </c>
      <c r="B171" t="str">
        <f>[4]ZP!$O$47</f>
        <v>Broj telefona/fax/e-mail       (21)</v>
      </c>
      <c r="C171" t="s">
        <v>467</v>
      </c>
      <c r="D171" t="s">
        <v>47</v>
      </c>
    </row>
    <row r="178" spans="1:4" x14ac:dyDescent="0.2">
      <c r="A178" t="s">
        <v>278</v>
      </c>
      <c r="B178" t="s">
        <v>327</v>
      </c>
      <c r="C178" t="s">
        <v>358</v>
      </c>
      <c r="D178" t="s">
        <v>81</v>
      </c>
    </row>
    <row r="179" spans="1:4" x14ac:dyDescent="0.2">
      <c r="A179" t="s">
        <v>301</v>
      </c>
      <c r="B179" t="s">
        <v>328</v>
      </c>
      <c r="C179" t="s">
        <v>481</v>
      </c>
      <c r="D179" t="s">
        <v>34</v>
      </c>
    </row>
    <row r="180" spans="1:4" x14ac:dyDescent="0.2">
      <c r="A180" t="s">
        <v>302</v>
      </c>
      <c r="B180" t="s">
        <v>329</v>
      </c>
      <c r="C180" t="s">
        <v>496</v>
      </c>
      <c r="D180" t="s">
        <v>35</v>
      </c>
    </row>
    <row r="181" spans="1:4" x14ac:dyDescent="0.2">
      <c r="A181" t="s">
        <v>303</v>
      </c>
      <c r="B181" t="s">
        <v>330</v>
      </c>
      <c r="C181" t="s">
        <v>468</v>
      </c>
      <c r="D181" t="s">
        <v>36</v>
      </c>
    </row>
    <row r="182" spans="1:4" x14ac:dyDescent="0.2">
      <c r="A182" t="s">
        <v>304</v>
      </c>
      <c r="B182" t="s">
        <v>1</v>
      </c>
      <c r="C182" t="s">
        <v>1</v>
      </c>
      <c r="D182" t="s">
        <v>1</v>
      </c>
    </row>
    <row r="183" spans="1:4" x14ac:dyDescent="0.2">
      <c r="A183" t="s">
        <v>305</v>
      </c>
      <c r="B183" t="s">
        <v>331</v>
      </c>
      <c r="C183" t="s">
        <v>477</v>
      </c>
      <c r="D183" t="s">
        <v>48</v>
      </c>
    </row>
    <row r="184" spans="1:4" x14ac:dyDescent="0.2">
      <c r="A184" t="s">
        <v>306</v>
      </c>
      <c r="B184" t="s">
        <v>332</v>
      </c>
      <c r="C184" t="s">
        <v>469</v>
      </c>
      <c r="D184" t="s">
        <v>37</v>
      </c>
    </row>
    <row r="185" spans="1:4" x14ac:dyDescent="0.2">
      <c r="A185" t="s">
        <v>307</v>
      </c>
      <c r="B185" t="s">
        <v>333</v>
      </c>
      <c r="C185" t="s">
        <v>498</v>
      </c>
      <c r="D185" t="s">
        <v>38</v>
      </c>
    </row>
    <row r="186" spans="1:4" x14ac:dyDescent="0.2">
      <c r="A186" t="s">
        <v>308</v>
      </c>
      <c r="B186" t="s">
        <v>577</v>
      </c>
      <c r="C186" t="s">
        <v>499</v>
      </c>
      <c r="D186" t="s">
        <v>82</v>
      </c>
    </row>
    <row r="187" spans="1:4" x14ac:dyDescent="0.2">
      <c r="A187" t="s">
        <v>309</v>
      </c>
      <c r="B187" t="s">
        <v>334</v>
      </c>
      <c r="C187" t="s">
        <v>470</v>
      </c>
      <c r="D187" t="s">
        <v>39</v>
      </c>
    </row>
    <row r="188" spans="1:4" x14ac:dyDescent="0.2">
      <c r="A188" t="s">
        <v>310</v>
      </c>
      <c r="B188" t="s">
        <v>335</v>
      </c>
      <c r="C188" t="s">
        <v>495</v>
      </c>
      <c r="D188" t="s">
        <v>49</v>
      </c>
    </row>
    <row r="189" spans="1:4" x14ac:dyDescent="0.2">
      <c r="A189" t="s">
        <v>311</v>
      </c>
      <c r="B189" t="s">
        <v>336</v>
      </c>
      <c r="C189" t="s">
        <v>476</v>
      </c>
      <c r="D189" t="s">
        <v>50</v>
      </c>
    </row>
    <row r="190" spans="1:4" x14ac:dyDescent="0.2">
      <c r="A190" t="s">
        <v>312</v>
      </c>
      <c r="B190" t="s">
        <v>337</v>
      </c>
      <c r="C190" t="s">
        <v>471</v>
      </c>
      <c r="D190" t="s">
        <v>51</v>
      </c>
    </row>
    <row r="191" spans="1:4" x14ac:dyDescent="0.2">
      <c r="A191" t="s">
        <v>313</v>
      </c>
      <c r="B191" t="s">
        <v>338</v>
      </c>
      <c r="C191" t="s">
        <v>472</v>
      </c>
      <c r="D191" t="s">
        <v>52</v>
      </c>
    </row>
    <row r="192" spans="1:4" x14ac:dyDescent="0.2">
      <c r="A192" t="s">
        <v>314</v>
      </c>
      <c r="B192" t="s">
        <v>339</v>
      </c>
      <c r="C192" t="s">
        <v>459</v>
      </c>
      <c r="D192" t="s">
        <v>43</v>
      </c>
    </row>
    <row r="193" spans="1:4" x14ac:dyDescent="0.2">
      <c r="A193" t="s">
        <v>315</v>
      </c>
      <c r="B193" t="s">
        <v>340</v>
      </c>
      <c r="C193" t="s">
        <v>460</v>
      </c>
      <c r="D193" t="s">
        <v>44</v>
      </c>
    </row>
    <row r="194" spans="1:4" x14ac:dyDescent="0.2">
      <c r="A194" t="s">
        <v>316</v>
      </c>
      <c r="B194" t="s">
        <v>341</v>
      </c>
      <c r="C194" t="s">
        <v>473</v>
      </c>
      <c r="D194" t="s">
        <v>53</v>
      </c>
    </row>
    <row r="195" spans="1:4" x14ac:dyDescent="0.2">
      <c r="A195" t="s">
        <v>317</v>
      </c>
      <c r="B195" t="s">
        <v>342</v>
      </c>
      <c r="C195" t="s">
        <v>474</v>
      </c>
      <c r="D195" t="s">
        <v>54</v>
      </c>
    </row>
    <row r="196" spans="1:4" x14ac:dyDescent="0.2">
      <c r="A196" t="s">
        <v>318</v>
      </c>
      <c r="B196" t="s">
        <v>343</v>
      </c>
      <c r="C196" t="s">
        <v>475</v>
      </c>
      <c r="D196" t="s">
        <v>83</v>
      </c>
    </row>
    <row r="199" spans="1:4" x14ac:dyDescent="0.2">
      <c r="A199" t="s">
        <v>501</v>
      </c>
      <c r="B199" t="str">
        <f>'[2]Knjiga_U-RA'!$B$3</f>
        <v>POREZNI OBVEZNIK: NAZIV/ IME I PREZIME</v>
      </c>
      <c r="C199" t="s">
        <v>426</v>
      </c>
      <c r="D199" t="s">
        <v>7</v>
      </c>
    </row>
    <row r="200" spans="1:4" x14ac:dyDescent="0.2">
      <c r="A200" t="s">
        <v>502</v>
      </c>
      <c r="B200" t="str">
        <f>'[2]Knjiga_U-RA'!$B$6</f>
        <v xml:space="preserve">ADRESA:MJESTO, ULICA I BROJ </v>
      </c>
      <c r="C200" t="s">
        <v>427</v>
      </c>
      <c r="D200" t="s">
        <v>27</v>
      </c>
    </row>
    <row r="201" spans="1:4" x14ac:dyDescent="0.2">
      <c r="A201" t="s">
        <v>503</v>
      </c>
      <c r="B201" t="s">
        <v>344</v>
      </c>
      <c r="C201" t="s">
        <v>450</v>
      </c>
      <c r="D201" t="s">
        <v>8</v>
      </c>
    </row>
    <row r="202" spans="1:4" x14ac:dyDescent="0.2">
      <c r="A202" t="s">
        <v>504</v>
      </c>
      <c r="B202" t="str">
        <f>'[2]Knjiga_U-RA'!$B$13</f>
        <v xml:space="preserve">PDV ID.BR./   </v>
      </c>
      <c r="C202" t="s">
        <v>434</v>
      </c>
      <c r="D202" t="s">
        <v>76</v>
      </c>
    </row>
    <row r="203" spans="1:4" x14ac:dyDescent="0.2">
      <c r="A203" t="s">
        <v>505</v>
      </c>
      <c r="B203" t="s">
        <v>531</v>
      </c>
      <c r="C203" t="s">
        <v>532</v>
      </c>
      <c r="D203" t="s">
        <v>533</v>
      </c>
    </row>
    <row r="204" spans="1:4" x14ac:dyDescent="0.2">
      <c r="A204" t="s">
        <v>506</v>
      </c>
      <c r="B204" t="str">
        <f>'[2]Knjiga_U-RA'!$N$16</f>
        <v>IZNOS U KUNAMA I LIPAMA</v>
      </c>
      <c r="C204" t="s">
        <v>428</v>
      </c>
      <c r="D204" t="s">
        <v>29</v>
      </c>
    </row>
    <row r="205" spans="1:4" x14ac:dyDescent="0.2">
      <c r="A205" t="s">
        <v>507</v>
      </c>
      <c r="B205" t="str">
        <f>'[2]Knjiga_U-RA'!$A$19</f>
        <v xml:space="preserve"> RED.BR.</v>
      </c>
      <c r="C205" t="s">
        <v>445</v>
      </c>
      <c r="D205" t="s">
        <v>10</v>
      </c>
    </row>
    <row r="206" spans="1:4" x14ac:dyDescent="0.2">
      <c r="A206" t="s">
        <v>508</v>
      </c>
      <c r="B206" t="str">
        <f>'[2]Knjiga_U-RA'!$B$19</f>
        <v xml:space="preserve">RAČUN </v>
      </c>
      <c r="C206" t="s">
        <v>430</v>
      </c>
      <c r="D206" t="s">
        <v>13</v>
      </c>
    </row>
    <row r="207" spans="1:4" x14ac:dyDescent="0.2">
      <c r="A207" t="s">
        <v>509</v>
      </c>
      <c r="B207" t="str">
        <f>'[2]Knjiga_U-RA'!$B$21</f>
        <v xml:space="preserve">BROJ </v>
      </c>
      <c r="C207" t="s">
        <v>429</v>
      </c>
      <c r="D207" t="s">
        <v>11</v>
      </c>
    </row>
    <row r="208" spans="1:4" x14ac:dyDescent="0.2">
      <c r="A208" t="s">
        <v>510</v>
      </c>
      <c r="B208" t="str">
        <f>'[2]Knjiga_U-RA'!$C$21</f>
        <v>DATUM</v>
      </c>
      <c r="C208" t="s">
        <v>431</v>
      </c>
      <c r="D208" t="s">
        <v>12</v>
      </c>
    </row>
    <row r="209" spans="1:4" x14ac:dyDescent="0.2">
      <c r="A209" t="s">
        <v>511</v>
      </c>
      <c r="B209" t="str">
        <f>'[2]Knjiga_U-RA'!$D$19</f>
        <v>DOBAVLJAČ ( ISPORUČITELJ DOBARA ILI USLUGA)</v>
      </c>
      <c r="C209" t="s">
        <v>488</v>
      </c>
      <c r="D209" t="s">
        <v>30</v>
      </c>
    </row>
    <row r="210" spans="1:4" x14ac:dyDescent="0.2">
      <c r="A210" t="s">
        <v>512</v>
      </c>
      <c r="B210" t="str">
        <f>'[2]Knjiga_U-RA'!$D$21</f>
        <v>NAZIV- IME I PREZIME I SJEDIŠTE/ PREBIVALIŠTE ILI UOBIČAJENO BORAVIŠTE</v>
      </c>
      <c r="C210" t="s">
        <v>433</v>
      </c>
      <c r="D210" t="s">
        <v>15</v>
      </c>
    </row>
    <row r="211" spans="1:4" x14ac:dyDescent="0.2">
      <c r="A211" t="s">
        <v>513</v>
      </c>
      <c r="B211" t="str">
        <f>'[2]Knjiga_U-RA'!$F$21</f>
        <v>( PDV ID. BR)</v>
      </c>
      <c r="C211" t="s">
        <v>434</v>
      </c>
      <c r="D211" t="s">
        <v>76</v>
      </c>
    </row>
    <row r="212" spans="1:4" x14ac:dyDescent="0.2">
      <c r="A212" t="s">
        <v>514</v>
      </c>
      <c r="B212" t="str">
        <f>'[2]Knjiga_U-RA'!$G$21</f>
        <v xml:space="preserve">POREZNA OSNOVICA </v>
      </c>
      <c r="C212" t="s">
        <v>451</v>
      </c>
      <c r="D212" t="s">
        <v>25</v>
      </c>
    </row>
    <row r="213" spans="1:4" x14ac:dyDescent="0.2">
      <c r="A213" t="s">
        <v>515</v>
      </c>
      <c r="B213" s="46">
        <v>0.05</v>
      </c>
      <c r="C213" s="46">
        <v>0.05</v>
      </c>
      <c r="D213" s="46">
        <v>0.05</v>
      </c>
    </row>
    <row r="214" spans="1:4" x14ac:dyDescent="0.2">
      <c r="A214" t="s">
        <v>516</v>
      </c>
      <c r="B214" s="46">
        <v>0.1</v>
      </c>
      <c r="C214" s="46">
        <v>0.1</v>
      </c>
      <c r="D214" s="46">
        <v>0.1</v>
      </c>
    </row>
    <row r="215" spans="1:4" x14ac:dyDescent="0.2">
      <c r="A215" t="s">
        <v>517</v>
      </c>
      <c r="B215" s="46">
        <v>0.25</v>
      </c>
      <c r="C215" s="46">
        <v>0.25</v>
      </c>
      <c r="D215" s="46">
        <v>0.25</v>
      </c>
    </row>
    <row r="216" spans="1:4" x14ac:dyDescent="0.2">
      <c r="A216" t="s">
        <v>518</v>
      </c>
      <c r="B216" t="str">
        <f>'[2]Knjiga_U-RA'!$J$21</f>
        <v>UKUPNI IZNOS RAČUNA S PDV-om</v>
      </c>
      <c r="C216" t="s">
        <v>491</v>
      </c>
      <c r="D216" t="s">
        <v>31</v>
      </c>
    </row>
    <row r="217" spans="1:4" x14ac:dyDescent="0.2">
      <c r="A217" t="s">
        <v>519</v>
      </c>
      <c r="B217" t="str">
        <f>'[2]Knjiga_U-RA'!$K$21</f>
        <v>OSLOBOĐENO POREZA / NEOPOREZIVO</v>
      </c>
      <c r="C217" t="s">
        <v>447</v>
      </c>
      <c r="D217" t="s">
        <v>18</v>
      </c>
    </row>
    <row r="218" spans="1:4" x14ac:dyDescent="0.2">
      <c r="A218" t="s">
        <v>520</v>
      </c>
      <c r="B218" t="str">
        <f>'[2]Knjiga_U-RA'!$M$19</f>
        <v xml:space="preserve">POREZ </v>
      </c>
      <c r="C218" t="s">
        <v>444</v>
      </c>
      <c r="D218" t="s">
        <v>26</v>
      </c>
    </row>
    <row r="219" spans="1:4" x14ac:dyDescent="0.2">
      <c r="A219" t="s">
        <v>521</v>
      </c>
      <c r="B219" s="46">
        <v>0.05</v>
      </c>
      <c r="C219" s="46">
        <v>0.05</v>
      </c>
      <c r="D219" s="46">
        <v>0.05</v>
      </c>
    </row>
    <row r="220" spans="1:4" x14ac:dyDescent="0.2">
      <c r="A220" t="s">
        <v>522</v>
      </c>
      <c r="B220" t="str">
        <f>'[2]Knjiga_U-RA'!$M$23</f>
        <v xml:space="preserve">MOŽE SE ODBITI  </v>
      </c>
      <c r="C220" t="s">
        <v>448</v>
      </c>
      <c r="D220" t="s">
        <v>32</v>
      </c>
    </row>
    <row r="221" spans="1:4" x14ac:dyDescent="0.2">
      <c r="A221" t="s">
        <v>523</v>
      </c>
      <c r="B221" t="str">
        <f>'[2]Knjiga_U-RA'!$N$23</f>
        <v xml:space="preserve">NE MOŽE SE ODBIT </v>
      </c>
      <c r="C221" t="s">
        <v>449</v>
      </c>
      <c r="D221" t="s">
        <v>33</v>
      </c>
    </row>
    <row r="222" spans="1:4" x14ac:dyDescent="0.2">
      <c r="A222" t="s">
        <v>524</v>
      </c>
      <c r="B222" s="46">
        <v>0.13</v>
      </c>
      <c r="C222" s="46">
        <v>0.13</v>
      </c>
      <c r="D222" s="46">
        <v>0.13</v>
      </c>
    </row>
    <row r="223" spans="1:4" x14ac:dyDescent="0.2">
      <c r="A223" t="s">
        <v>525</v>
      </c>
      <c r="B223" t="str">
        <f t="shared" ref="B223:B224" si="4">B220</f>
        <v xml:space="preserve">MOŽE SE ODBITI  </v>
      </c>
      <c r="C223" t="s">
        <v>448</v>
      </c>
      <c r="D223" t="s">
        <v>32</v>
      </c>
    </row>
    <row r="224" spans="1:4" x14ac:dyDescent="0.2">
      <c r="A224" t="s">
        <v>526</v>
      </c>
      <c r="B224" t="str">
        <f t="shared" si="4"/>
        <v xml:space="preserve">NE MOŽE SE ODBIT </v>
      </c>
      <c r="C224" t="s">
        <v>449</v>
      </c>
      <c r="D224" t="s">
        <v>33</v>
      </c>
    </row>
    <row r="225" spans="1:4" x14ac:dyDescent="0.2">
      <c r="A225" t="s">
        <v>527</v>
      </c>
      <c r="B225" s="46">
        <v>0.25</v>
      </c>
      <c r="C225" s="46">
        <v>0.25</v>
      </c>
      <c r="D225" s="46">
        <v>0.25</v>
      </c>
    </row>
    <row r="226" spans="1:4" x14ac:dyDescent="0.2">
      <c r="A226" t="s">
        <v>528</v>
      </c>
      <c r="B226" t="str">
        <f t="shared" ref="B226:B227" si="5">B223</f>
        <v xml:space="preserve">MOŽE SE ODBITI  </v>
      </c>
      <c r="C226" t="s">
        <v>448</v>
      </c>
      <c r="D226" t="s">
        <v>32</v>
      </c>
    </row>
    <row r="227" spans="1:4" x14ac:dyDescent="0.2">
      <c r="A227" t="s">
        <v>529</v>
      </c>
      <c r="B227" t="str">
        <f t="shared" si="5"/>
        <v xml:space="preserve">NE MOŽE SE ODBIT </v>
      </c>
      <c r="C227" t="s">
        <v>449</v>
      </c>
      <c r="D227" t="s">
        <v>33</v>
      </c>
    </row>
    <row r="228" spans="1:4" x14ac:dyDescent="0.2">
      <c r="A228" t="s">
        <v>530</v>
      </c>
      <c r="B228" t="s">
        <v>424</v>
      </c>
      <c r="C228" t="s">
        <v>446</v>
      </c>
      <c r="D228" t="s">
        <v>425</v>
      </c>
    </row>
    <row r="231" spans="1:4" x14ac:dyDescent="0.2">
      <c r="A231" t="s">
        <v>534</v>
      </c>
      <c r="B231" t="str">
        <f>'[2]Knjiga_U-RA'!$B$3</f>
        <v>POREZNI OBVEZNIK: NAZIV/ IME I PREZIME</v>
      </c>
      <c r="C231" t="s">
        <v>426</v>
      </c>
      <c r="D231" t="s">
        <v>7</v>
      </c>
    </row>
    <row r="232" spans="1:4" x14ac:dyDescent="0.2">
      <c r="A232" t="s">
        <v>535</v>
      </c>
      <c r="B232" t="str">
        <f>'[2]Knjiga_U-RA'!$B$6</f>
        <v xml:space="preserve">ADRESA:MJESTO, ULICA I BROJ </v>
      </c>
      <c r="C232" t="s">
        <v>427</v>
      </c>
      <c r="D232" t="s">
        <v>27</v>
      </c>
    </row>
    <row r="233" spans="1:4" x14ac:dyDescent="0.2">
      <c r="A233" t="s">
        <v>536</v>
      </c>
      <c r="B233" t="s">
        <v>344</v>
      </c>
      <c r="C233" t="s">
        <v>450</v>
      </c>
      <c r="D233" t="s">
        <v>8</v>
      </c>
    </row>
    <row r="234" spans="1:4" x14ac:dyDescent="0.2">
      <c r="A234" t="s">
        <v>537</v>
      </c>
      <c r="B234" t="str">
        <f>'[2]Knjiga_U-RA'!$B$13</f>
        <v xml:space="preserve">PDV ID.BR./   </v>
      </c>
      <c r="C234" t="s">
        <v>434</v>
      </c>
      <c r="D234" t="s">
        <v>76</v>
      </c>
    </row>
    <row r="235" spans="1:4" x14ac:dyDescent="0.2">
      <c r="A235" t="s">
        <v>538</v>
      </c>
      <c r="B235" t="s">
        <v>564</v>
      </c>
      <c r="C235" t="s">
        <v>565</v>
      </c>
      <c r="D235" t="s">
        <v>566</v>
      </c>
    </row>
    <row r="236" spans="1:4" x14ac:dyDescent="0.2">
      <c r="A236" t="s">
        <v>539</v>
      </c>
      <c r="B236" t="str">
        <f>'[2]Knjiga_U-RA'!$N$16</f>
        <v>IZNOS U KUNAMA I LIPAMA</v>
      </c>
      <c r="C236" t="s">
        <v>428</v>
      </c>
      <c r="D236" t="s">
        <v>29</v>
      </c>
    </row>
    <row r="237" spans="1:4" x14ac:dyDescent="0.2">
      <c r="A237" t="s">
        <v>540</v>
      </c>
      <c r="B237" t="str">
        <f>'[2]Knjiga_U-RA'!$A$19</f>
        <v xml:space="preserve"> RED.BR.</v>
      </c>
      <c r="C237" t="s">
        <v>445</v>
      </c>
      <c r="D237" t="s">
        <v>10</v>
      </c>
    </row>
    <row r="238" spans="1:4" x14ac:dyDescent="0.2">
      <c r="A238" t="s">
        <v>541</v>
      </c>
      <c r="B238" t="str">
        <f>'[2]Knjiga_U-RA'!$B$19</f>
        <v xml:space="preserve">RAČUN </v>
      </c>
      <c r="C238" t="s">
        <v>430</v>
      </c>
      <c r="D238" t="s">
        <v>13</v>
      </c>
    </row>
    <row r="239" spans="1:4" x14ac:dyDescent="0.2">
      <c r="A239" t="s">
        <v>542</v>
      </c>
      <c r="B239" t="str">
        <f>'[2]Knjiga_U-RA'!$B$21</f>
        <v xml:space="preserve">BROJ </v>
      </c>
      <c r="C239" t="s">
        <v>429</v>
      </c>
      <c r="D239" t="s">
        <v>11</v>
      </c>
    </row>
    <row r="240" spans="1:4" x14ac:dyDescent="0.2">
      <c r="A240" t="s">
        <v>543</v>
      </c>
      <c r="B240" t="str">
        <f>'[2]Knjiga_U-RA'!$C$21</f>
        <v>DATUM</v>
      </c>
      <c r="C240" t="s">
        <v>431</v>
      </c>
      <c r="D240" t="s">
        <v>12</v>
      </c>
    </row>
    <row r="241" spans="1:4" x14ac:dyDescent="0.2">
      <c r="A241" t="s">
        <v>544</v>
      </c>
      <c r="B241" t="str">
        <f>'[2]Knjiga_U-RA'!$D$19</f>
        <v>DOBAVLJAČ ( ISPORUČITELJ DOBARA ILI USLUGA)</v>
      </c>
      <c r="C241" t="s">
        <v>488</v>
      </c>
      <c r="D241" t="s">
        <v>30</v>
      </c>
    </row>
    <row r="242" spans="1:4" x14ac:dyDescent="0.2">
      <c r="A242" t="s">
        <v>545</v>
      </c>
      <c r="B242" t="str">
        <f>'[2]Knjiga_U-RA'!$D$21</f>
        <v>NAZIV- IME I PREZIME I SJEDIŠTE/ PREBIVALIŠTE ILI UOBIČAJENO BORAVIŠTE</v>
      </c>
      <c r="C242" t="s">
        <v>433</v>
      </c>
      <c r="D242" t="s">
        <v>15</v>
      </c>
    </row>
    <row r="243" spans="1:4" x14ac:dyDescent="0.2">
      <c r="A243" t="s">
        <v>546</v>
      </c>
      <c r="B243" t="str">
        <f>'[2]Knjiga_U-RA'!$F$21</f>
        <v>( PDV ID. BR)</v>
      </c>
      <c r="C243" t="s">
        <v>434</v>
      </c>
      <c r="D243" t="s">
        <v>76</v>
      </c>
    </row>
    <row r="244" spans="1:4" x14ac:dyDescent="0.2">
      <c r="A244" t="s">
        <v>547</v>
      </c>
      <c r="B244" t="str">
        <f>'[2]Knjiga_U-RA'!$G$21</f>
        <v xml:space="preserve">POREZNA OSNOVICA </v>
      </c>
      <c r="C244" t="s">
        <v>451</v>
      </c>
      <c r="D244" t="s">
        <v>25</v>
      </c>
    </row>
    <row r="245" spans="1:4" x14ac:dyDescent="0.2">
      <c r="A245" t="s">
        <v>548</v>
      </c>
      <c r="B245" s="46">
        <v>0.05</v>
      </c>
      <c r="C245" s="46">
        <v>0.05</v>
      </c>
      <c r="D245" s="46">
        <v>0.05</v>
      </c>
    </row>
    <row r="246" spans="1:4" x14ac:dyDescent="0.2">
      <c r="A246" t="s">
        <v>549</v>
      </c>
      <c r="B246" s="46">
        <v>0.1</v>
      </c>
      <c r="C246" s="46">
        <v>0.1</v>
      </c>
      <c r="D246" s="46">
        <v>0.1</v>
      </c>
    </row>
    <row r="247" spans="1:4" x14ac:dyDescent="0.2">
      <c r="A247" t="s">
        <v>550</v>
      </c>
      <c r="B247" s="46">
        <v>0.25</v>
      </c>
      <c r="C247" s="46">
        <v>0.25</v>
      </c>
      <c r="D247" s="46">
        <v>0.25</v>
      </c>
    </row>
    <row r="248" spans="1:4" x14ac:dyDescent="0.2">
      <c r="A248" t="s">
        <v>551</v>
      </c>
      <c r="B248" t="str">
        <f>'[2]Knjiga_U-RA'!$J$21</f>
        <v>UKUPNI IZNOS RAČUNA S PDV-om</v>
      </c>
      <c r="C248" t="s">
        <v>491</v>
      </c>
      <c r="D248" t="s">
        <v>31</v>
      </c>
    </row>
    <row r="249" spans="1:4" x14ac:dyDescent="0.2">
      <c r="A249" t="s">
        <v>552</v>
      </c>
      <c r="B249" t="str">
        <f>'[2]Knjiga_U-RA'!$K$21</f>
        <v>OSLOBOĐENO POREZA / NEOPOREZIVO</v>
      </c>
      <c r="C249" t="s">
        <v>447</v>
      </c>
      <c r="D249" t="s">
        <v>18</v>
      </c>
    </row>
    <row r="250" spans="1:4" x14ac:dyDescent="0.2">
      <c r="A250" t="s">
        <v>553</v>
      </c>
      <c r="B250" t="str">
        <f>'[2]Knjiga_U-RA'!$M$19</f>
        <v xml:space="preserve">POREZ </v>
      </c>
      <c r="C250" t="s">
        <v>444</v>
      </c>
      <c r="D250" t="s">
        <v>26</v>
      </c>
    </row>
    <row r="251" spans="1:4" x14ac:dyDescent="0.2">
      <c r="A251" t="s">
        <v>554</v>
      </c>
      <c r="B251" s="46">
        <v>0.05</v>
      </c>
      <c r="C251" s="46">
        <v>0.05</v>
      </c>
      <c r="D251" s="46">
        <v>0.05</v>
      </c>
    </row>
    <row r="252" spans="1:4" x14ac:dyDescent="0.2">
      <c r="A252" t="s">
        <v>555</v>
      </c>
      <c r="B252" t="str">
        <f>'[2]Knjiga_U-RA'!$M$23</f>
        <v xml:space="preserve">MOŽE SE ODBITI  </v>
      </c>
      <c r="C252" t="s">
        <v>448</v>
      </c>
      <c r="D252" t="s">
        <v>32</v>
      </c>
    </row>
    <row r="253" spans="1:4" x14ac:dyDescent="0.2">
      <c r="A253" t="s">
        <v>556</v>
      </c>
      <c r="B253" t="str">
        <f>'[2]Knjiga_U-RA'!$N$23</f>
        <v xml:space="preserve">NE MOŽE SE ODBIT </v>
      </c>
      <c r="C253" t="s">
        <v>449</v>
      </c>
      <c r="D253" t="s">
        <v>33</v>
      </c>
    </row>
    <row r="254" spans="1:4" x14ac:dyDescent="0.2">
      <c r="A254" t="s">
        <v>557</v>
      </c>
      <c r="B254" s="46">
        <v>0.13</v>
      </c>
      <c r="C254" s="46">
        <v>0.13</v>
      </c>
      <c r="D254" s="46">
        <v>0.13</v>
      </c>
    </row>
    <row r="255" spans="1:4" x14ac:dyDescent="0.2">
      <c r="A255" t="s">
        <v>558</v>
      </c>
      <c r="B255" t="str">
        <f t="shared" ref="B255:B256" si="6">B252</f>
        <v xml:space="preserve">MOŽE SE ODBITI  </v>
      </c>
      <c r="C255" t="s">
        <v>448</v>
      </c>
      <c r="D255" t="s">
        <v>32</v>
      </c>
    </row>
    <row r="256" spans="1:4" x14ac:dyDescent="0.2">
      <c r="A256" t="s">
        <v>559</v>
      </c>
      <c r="B256" t="str">
        <f t="shared" si="6"/>
        <v xml:space="preserve">NE MOŽE SE ODBIT </v>
      </c>
      <c r="C256" t="s">
        <v>449</v>
      </c>
      <c r="D256" t="s">
        <v>33</v>
      </c>
    </row>
    <row r="257" spans="1:4" x14ac:dyDescent="0.2">
      <c r="A257" t="s">
        <v>560</v>
      </c>
      <c r="B257" s="46">
        <v>0.25</v>
      </c>
      <c r="C257" s="46">
        <v>0.25</v>
      </c>
      <c r="D257" s="46">
        <v>0.25</v>
      </c>
    </row>
    <row r="258" spans="1:4" x14ac:dyDescent="0.2">
      <c r="A258" t="s">
        <v>561</v>
      </c>
      <c r="B258" t="str">
        <f t="shared" ref="B258:B259" si="7">B255</f>
        <v xml:space="preserve">MOŽE SE ODBITI  </v>
      </c>
      <c r="C258" t="s">
        <v>448</v>
      </c>
      <c r="D258" t="s">
        <v>32</v>
      </c>
    </row>
    <row r="259" spans="1:4" x14ac:dyDescent="0.2">
      <c r="A259" t="s">
        <v>562</v>
      </c>
      <c r="B259" t="str">
        <f t="shared" si="7"/>
        <v xml:space="preserve">NE MOŽE SE ODBIT </v>
      </c>
      <c r="C259" t="s">
        <v>449</v>
      </c>
      <c r="D259" t="s">
        <v>33</v>
      </c>
    </row>
    <row r="260" spans="1:4" x14ac:dyDescent="0.2">
      <c r="A260" t="s">
        <v>563</v>
      </c>
      <c r="B260" t="s">
        <v>424</v>
      </c>
      <c r="C260" t="s">
        <v>446</v>
      </c>
      <c r="D260" t="s">
        <v>425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3:N73"/>
  <sheetViews>
    <sheetView zoomScale="70" zoomScaleNormal="70" workbookViewId="0">
      <selection activeCell="M39" sqref="M39"/>
    </sheetView>
  </sheetViews>
  <sheetFormatPr baseColWidth="10" defaultColWidth="9" defaultRowHeight="12.75" x14ac:dyDescent="0.2"/>
  <cols>
    <col min="2" max="2" width="11.375" customWidth="1"/>
    <col min="3" max="3" width="11.125" customWidth="1"/>
    <col min="5" max="5" width="9" customWidth="1"/>
    <col min="6" max="6" width="14" customWidth="1"/>
    <col min="7" max="7" width="9" customWidth="1"/>
    <col min="8" max="8" width="15.5" customWidth="1"/>
    <col min="9" max="9" width="13.5" customWidth="1"/>
    <col min="11" max="11" width="13.75" customWidth="1"/>
  </cols>
  <sheetData>
    <row r="3" spans="2:11" x14ac:dyDescent="0.2">
      <c r="I3" s="257" t="str">
        <f>INDEX(PRIJEVODI!B:D,MATCH("PDV-S-001",PRIJEVODI!A:A,0),MATCH(NASLOV!$B$2,PRIJEVODI!$B$1:$D$1,0))</f>
        <v>UVA Formular</v>
      </c>
      <c r="J3" s="257"/>
      <c r="K3" s="257"/>
    </row>
    <row r="4" spans="2:11" x14ac:dyDescent="0.2">
      <c r="I4" s="257"/>
      <c r="J4" s="257"/>
      <c r="K4" s="257"/>
    </row>
    <row r="5" spans="2:11" ht="12.75" customHeight="1" x14ac:dyDescent="0.2"/>
    <row r="6" spans="2:11" ht="12.75" customHeight="1" x14ac:dyDescent="0.2">
      <c r="B6" s="242" t="str">
        <f>INDEX(PRIJEVODI!B:D,MATCH("PDV-S-002",PRIJEVODI!A:A,0),MATCH(NASLOV!$B$2,PRIJEVODI!$B$1:$D$1,0))</f>
        <v>ZUSTÄNDIGES FINANZAMT - REGIONALBÜRO (1)</v>
      </c>
      <c r="C6" s="243"/>
      <c r="D6" s="312" t="s">
        <v>570</v>
      </c>
      <c r="E6" s="313"/>
      <c r="G6" s="306" t="str">
        <f>INDEX(PRIJEVODI!B:D,MATCH("PDV-S-004",PRIJEVODI!A:A,0),MATCH(NASLOV!$B$2,PRIJEVODI!$B$1:$D$1,0))</f>
        <v>STEUERNUMMER (UID) (3)</v>
      </c>
      <c r="H6" s="308"/>
      <c r="I6" s="300" t="str">
        <f>INDEX(PRIJEVODI!B:D,MATCH("PDV-S-005",PRIJEVODI!A:A,0),MATCH(NASLOV!$B$2,PRIJEVODI!$B$1:$D$1,0))</f>
        <v>HR</v>
      </c>
      <c r="J6" s="267" t="str">
        <f>+NASLOV!B9</f>
        <v>HR6411581446</v>
      </c>
      <c r="K6" s="273"/>
    </row>
    <row r="7" spans="2:11" ht="12.75" customHeight="1" x14ac:dyDescent="0.2">
      <c r="B7" s="244"/>
      <c r="C7" s="245"/>
      <c r="D7" s="314"/>
      <c r="E7" s="315"/>
      <c r="G7" s="309"/>
      <c r="H7" s="311"/>
      <c r="I7" s="302"/>
      <c r="J7" s="269"/>
      <c r="K7" s="278"/>
    </row>
    <row r="8" spans="2:11" ht="12.75" customHeight="1" x14ac:dyDescent="0.2">
      <c r="B8" s="246"/>
      <c r="C8" s="247"/>
      <c r="D8" s="316"/>
      <c r="E8" s="317"/>
      <c r="G8" s="242" t="str">
        <f>INDEX(PRIJEVODI!B:D,MATCH("PDV-S-006",PRIJEVODI!A:A,0),MATCH(NASLOV!$B$2,PRIJEVODI!$B$1:$D$1,0))</f>
        <v>Steuerpflichtiger (Titel/Name und Nachname)  (4)</v>
      </c>
      <c r="H8" s="243"/>
      <c r="I8" s="305" t="str">
        <f>NASLOV!B5</f>
        <v>Markus Renz</v>
      </c>
      <c r="J8" s="260"/>
      <c r="K8" s="266"/>
    </row>
    <row r="9" spans="2:11" ht="12.75" customHeight="1" x14ac:dyDescent="0.2">
      <c r="B9" s="267" t="str">
        <f>INDEX(PRIJEVODI!B:D,MATCH("PDV-S-003",PRIJEVODI!A:A,0),MATCH(NASLOV!$B$2,PRIJEVODI!$B$1:$D$1,0))</f>
        <v xml:space="preserve">Aussenstelle </v>
      </c>
      <c r="C9" s="273"/>
      <c r="D9" s="312" t="s">
        <v>571</v>
      </c>
      <c r="E9" s="313"/>
      <c r="G9" s="244"/>
      <c r="H9" s="245"/>
      <c r="I9" s="337"/>
      <c r="J9" s="338"/>
      <c r="K9" s="261"/>
    </row>
    <row r="10" spans="2:11" ht="12.75" customHeight="1" x14ac:dyDescent="0.2">
      <c r="B10" s="268"/>
      <c r="C10" s="280"/>
      <c r="D10" s="314"/>
      <c r="E10" s="315"/>
      <c r="G10" s="246"/>
      <c r="H10" s="247"/>
      <c r="I10" s="262"/>
      <c r="J10" s="263"/>
      <c r="K10" s="264"/>
    </row>
    <row r="11" spans="2:11" ht="12.75" customHeight="1" x14ac:dyDescent="0.2">
      <c r="B11" s="269"/>
      <c r="C11" s="278"/>
      <c r="D11" s="316"/>
      <c r="E11" s="317"/>
      <c r="G11" s="306" t="str">
        <f>INDEX(PRIJEVODI!B:D,MATCH("PDV-S-007",PRIJEVODI!A:A,0),MATCH(NASLOV!$B$2,PRIJEVODI!$B$1:$D$1,0))</f>
        <v>Adresse (Ort, Strasse und Hausnummer)  (5)</v>
      </c>
      <c r="H11" s="308"/>
      <c r="I11" s="305" t="str">
        <f>NASLOV!B7</f>
        <v>Am Sonnblick 6, Lichtenau</v>
      </c>
      <c r="J11" s="260"/>
      <c r="K11" s="266"/>
    </row>
    <row r="12" spans="2:11" ht="12.75" customHeight="1" x14ac:dyDescent="0.2">
      <c r="G12" s="309"/>
      <c r="H12" s="311"/>
      <c r="I12" s="262"/>
      <c r="J12" s="263"/>
      <c r="K12" s="264"/>
    </row>
    <row r="13" spans="2:11" ht="12.75" customHeight="1" x14ac:dyDescent="0.2">
      <c r="G13" s="242" t="str">
        <f>INDEX(PRIJEVODI!B:D,MATCH("PDV-S-008",PRIJEVODI!A:A,0),MATCH(NASLOV!$B$2,PRIJEVODI!$B$1:$D$1,0))</f>
        <v xml:space="preserve">Steuernummer UID des Steuervertreters </v>
      </c>
      <c r="H13" s="243"/>
      <c r="I13" s="300" t="s">
        <v>1</v>
      </c>
      <c r="J13" s="305"/>
      <c r="K13" s="266"/>
    </row>
    <row r="14" spans="2:11" x14ac:dyDescent="0.2">
      <c r="G14" s="246"/>
      <c r="H14" s="247"/>
      <c r="I14" s="302"/>
      <c r="J14" s="262"/>
      <c r="K14" s="264"/>
    </row>
    <row r="20" spans="2:14" ht="12.75" customHeight="1" x14ac:dyDescent="0.2">
      <c r="B20" s="318" t="str">
        <f>INDEX(PRIJEVODI!B:D,MATCH("PDV-S-009",PRIJEVODI!A:A,0),MATCH(NASLOV!$B$2,PRIJEVODI!$B$1:$D$1,0))</f>
        <v>Anmeldung für den Erwerb von Gütern und erhaltene Dienstleistungen aus anderen EU Mitgliedsstaaten für den Monat_____ Jahr</v>
      </c>
      <c r="C20" s="318"/>
      <c r="D20" s="318"/>
      <c r="E20" s="318"/>
      <c r="F20" s="318"/>
      <c r="G20" s="318"/>
      <c r="H20" s="318"/>
      <c r="I20" s="318"/>
    </row>
    <row r="21" spans="2:14" x14ac:dyDescent="0.2">
      <c r="B21" s="318"/>
      <c r="C21" s="318"/>
      <c r="D21" s="318"/>
      <c r="E21" s="318"/>
      <c r="F21" s="318"/>
      <c r="G21" s="318"/>
      <c r="H21" s="318"/>
      <c r="I21" s="318"/>
    </row>
    <row r="22" spans="2:14" x14ac:dyDescent="0.2">
      <c r="B22" s="318"/>
      <c r="C22" s="318"/>
      <c r="D22" s="318"/>
      <c r="E22" s="318"/>
      <c r="F22" s="318"/>
      <c r="G22" s="318"/>
      <c r="H22" s="318"/>
      <c r="I22" s="318"/>
    </row>
    <row r="23" spans="2:14" x14ac:dyDescent="0.2">
      <c r="B23" s="318"/>
      <c r="C23" s="318"/>
      <c r="D23" s="318"/>
      <c r="E23" s="318"/>
      <c r="F23" s="318"/>
      <c r="G23" s="318"/>
      <c r="H23" s="318"/>
      <c r="I23" s="318"/>
    </row>
    <row r="26" spans="2:14" x14ac:dyDescent="0.2">
      <c r="B26" s="248" t="str">
        <f>INDEX(PRIJEVODI!B:D,MATCH("PDV-S-010",PRIJEVODI!A:A,0),MATCH(NASLOV!$B$2,PRIJEVODI!$B$1:$D$1,0))</f>
        <v>Ordnugsnummer  (8)</v>
      </c>
      <c r="C26" s="248" t="str">
        <f>INDEX(PRIJEVODI!B:D,MATCH("PDV-S-011",PRIJEVODI!A:A,0),MATCH(NASLOV!$B$2,PRIJEVODI!$B$1:$D$1,0))</f>
        <v>Landescode  (9)</v>
      </c>
      <c r="D26" s="242" t="str">
        <f>INDEX(PRIJEVODI!B:D,MATCH("PDV-S-012",PRIJEVODI!A:A,0),MATCH(NASLOV!$B$2,PRIJEVODI!$B$1:$D$1,0))</f>
        <v>Steuernummer UID der Lieferanten (ohne Landesvorwahl)  (10)</v>
      </c>
      <c r="E26" s="243"/>
      <c r="F26" s="242" t="str">
        <f>INDEX(PRIJEVODI!B:D,MATCH("PDV-S-013",PRIJEVODI!A:A,0),MATCH(NASLOV!$B$2,PRIJEVODI!$B$1:$D$1,0))</f>
        <v>Wert der erworbenen Güter (in Kuna und Lipa)  (11)</v>
      </c>
      <c r="G26" s="243"/>
      <c r="H26" s="242" t="str">
        <f>INDEX(PRIJEVODI!B:D,MATCH("PDV-S-014",PRIJEVODI!A:A,0),MATCH(NASLOV!$B$2,PRIJEVODI!$B$1:$D$1,0))</f>
        <v>Wert der erhaltenen Dienstleistungen (in Kuna und Lipa)  (12)</v>
      </c>
      <c r="I26" s="243"/>
    </row>
    <row r="27" spans="2:14" x14ac:dyDescent="0.2">
      <c r="B27" s="249"/>
      <c r="C27" s="249"/>
      <c r="D27" s="244"/>
      <c r="E27" s="245"/>
      <c r="F27" s="244"/>
      <c r="G27" s="245"/>
      <c r="H27" s="244"/>
      <c r="I27" s="245"/>
    </row>
    <row r="28" spans="2:14" x14ac:dyDescent="0.2">
      <c r="B28" s="249"/>
      <c r="C28" s="249"/>
      <c r="D28" s="244"/>
      <c r="E28" s="245"/>
      <c r="F28" s="244"/>
      <c r="G28" s="245"/>
      <c r="H28" s="244"/>
      <c r="I28" s="245"/>
    </row>
    <row r="29" spans="2:14" x14ac:dyDescent="0.2">
      <c r="B29" s="249"/>
      <c r="C29" s="249"/>
      <c r="D29" s="244"/>
      <c r="E29" s="245"/>
      <c r="F29" s="244"/>
      <c r="G29" s="245"/>
      <c r="H29" s="244"/>
      <c r="I29" s="245"/>
    </row>
    <row r="30" spans="2:14" x14ac:dyDescent="0.2">
      <c r="B30" s="249"/>
      <c r="C30" s="249"/>
      <c r="D30" s="244"/>
      <c r="E30" s="245"/>
      <c r="F30" s="244"/>
      <c r="G30" s="245"/>
      <c r="H30" s="244"/>
      <c r="I30" s="245"/>
    </row>
    <row r="31" spans="2:14" x14ac:dyDescent="0.2">
      <c r="B31" s="249"/>
      <c r="C31" s="249"/>
      <c r="D31" s="244"/>
      <c r="E31" s="245"/>
      <c r="F31" s="244"/>
      <c r="G31" s="245"/>
      <c r="H31" s="244"/>
      <c r="I31" s="245"/>
    </row>
    <row r="32" spans="2:14" x14ac:dyDescent="0.2">
      <c r="B32" s="249"/>
      <c r="C32" s="249"/>
      <c r="D32" s="244"/>
      <c r="E32" s="245"/>
      <c r="F32" s="244"/>
      <c r="G32" s="245"/>
      <c r="H32" s="244"/>
      <c r="I32" s="245"/>
      <c r="K32" s="120"/>
      <c r="L32" s="120"/>
      <c r="M32" s="120"/>
      <c r="N32" s="120"/>
    </row>
    <row r="33" spans="2:14" x14ac:dyDescent="0.2">
      <c r="B33" s="249"/>
      <c r="C33" s="249"/>
      <c r="D33" s="244"/>
      <c r="E33" s="245"/>
      <c r="F33" s="244"/>
      <c r="G33" s="245"/>
      <c r="H33" s="244"/>
      <c r="I33" s="245"/>
      <c r="K33" s="120"/>
      <c r="L33" s="120"/>
      <c r="M33" s="120"/>
      <c r="N33" s="120"/>
    </row>
    <row r="34" spans="2:14" x14ac:dyDescent="0.2">
      <c r="B34" s="249"/>
      <c r="C34" s="249"/>
      <c r="D34" s="244"/>
      <c r="E34" s="245"/>
      <c r="F34" s="244"/>
      <c r="G34" s="245"/>
      <c r="H34" s="244"/>
      <c r="I34" s="245"/>
      <c r="K34" s="120"/>
      <c r="L34" s="120"/>
      <c r="M34" s="120"/>
      <c r="N34" s="120"/>
    </row>
    <row r="35" spans="2:14" x14ac:dyDescent="0.2">
      <c r="B35" s="250"/>
      <c r="C35" s="250"/>
      <c r="D35" s="246"/>
      <c r="E35" s="247"/>
      <c r="F35" s="246"/>
      <c r="G35" s="247"/>
      <c r="H35" s="246"/>
      <c r="I35" s="247"/>
      <c r="K35" s="120"/>
      <c r="L35" s="120"/>
      <c r="M35" s="120"/>
      <c r="N35" s="120"/>
    </row>
    <row r="36" spans="2:14" x14ac:dyDescent="0.2">
      <c r="B36" s="2"/>
      <c r="C36" s="2"/>
      <c r="D36" s="330"/>
      <c r="E36" s="331"/>
      <c r="F36" s="121"/>
      <c r="G36" s="122"/>
      <c r="H36" s="332"/>
      <c r="I36" s="333"/>
      <c r="K36" s="156"/>
      <c r="L36" s="155"/>
      <c r="M36" s="158"/>
      <c r="N36" s="155"/>
    </row>
    <row r="37" spans="2:14" x14ac:dyDescent="0.2">
      <c r="B37" s="2"/>
      <c r="C37" s="2"/>
      <c r="D37" s="330"/>
      <c r="E37" s="331"/>
      <c r="F37" s="332"/>
      <c r="G37" s="333"/>
      <c r="H37" s="332"/>
      <c r="I37" s="333"/>
      <c r="K37" s="156"/>
      <c r="L37" s="155"/>
      <c r="M37" s="158"/>
      <c r="N37" s="155"/>
    </row>
    <row r="38" spans="2:14" x14ac:dyDescent="0.2">
      <c r="B38" s="2">
        <v>1</v>
      </c>
      <c r="C38" s="2"/>
      <c r="D38" s="83" t="s">
        <v>597</v>
      </c>
      <c r="E38" s="83"/>
      <c r="F38" s="322"/>
      <c r="G38" s="323"/>
      <c r="H38" s="335">
        <f>K38</f>
        <v>0</v>
      </c>
      <c r="I38" s="336"/>
      <c r="K38" s="157">
        <f>'IC Aq'!J29</f>
        <v>0</v>
      </c>
      <c r="L38" s="120"/>
      <c r="M38" s="158" t="s">
        <v>597</v>
      </c>
      <c r="N38" s="120"/>
    </row>
    <row r="39" spans="2:14" x14ac:dyDescent="0.2">
      <c r="B39" s="2">
        <v>2</v>
      </c>
      <c r="C39" s="2"/>
      <c r="D39" s="330" t="s">
        <v>597</v>
      </c>
      <c r="E39" s="331"/>
      <c r="F39" s="334"/>
      <c r="G39" s="323"/>
      <c r="H39" s="335">
        <f>K39</f>
        <v>851.49127999999996</v>
      </c>
      <c r="I39" s="336"/>
      <c r="K39" s="157">
        <f>'IC Aq'!J30</f>
        <v>851.49127999999996</v>
      </c>
      <c r="L39" s="120"/>
      <c r="M39" s="158" t="s">
        <v>597</v>
      </c>
      <c r="N39" s="120"/>
    </row>
    <row r="40" spans="2:14" x14ac:dyDescent="0.2">
      <c r="B40" s="2"/>
      <c r="C40" s="2"/>
      <c r="D40" s="322"/>
      <c r="E40" s="323"/>
      <c r="F40" s="322"/>
      <c r="G40" s="323"/>
      <c r="H40" s="322"/>
      <c r="I40" s="323"/>
      <c r="K40" s="120"/>
      <c r="L40" s="120"/>
      <c r="M40" s="120"/>
      <c r="N40" s="120"/>
    </row>
    <row r="41" spans="2:14" x14ac:dyDescent="0.2">
      <c r="B41" s="2"/>
      <c r="C41" s="2"/>
      <c r="D41" s="322"/>
      <c r="E41" s="323"/>
      <c r="F41" s="322"/>
      <c r="G41" s="323"/>
      <c r="H41" s="322"/>
      <c r="I41" s="323"/>
      <c r="K41" s="120"/>
      <c r="L41" s="120"/>
      <c r="M41" s="120"/>
      <c r="N41" s="120"/>
    </row>
    <row r="42" spans="2:14" x14ac:dyDescent="0.2">
      <c r="B42" s="2"/>
      <c r="C42" s="2"/>
      <c r="D42" s="322"/>
      <c r="E42" s="323"/>
      <c r="F42" s="322"/>
      <c r="G42" s="323"/>
      <c r="H42" s="322"/>
      <c r="I42" s="323"/>
      <c r="K42" s="120"/>
      <c r="L42" s="120"/>
      <c r="M42" s="120"/>
      <c r="N42" s="120"/>
    </row>
    <row r="43" spans="2:14" x14ac:dyDescent="0.2">
      <c r="B43" s="2"/>
      <c r="C43" s="2"/>
      <c r="D43" s="322"/>
      <c r="E43" s="323"/>
      <c r="F43" s="322"/>
      <c r="G43" s="323"/>
      <c r="H43" s="322"/>
      <c r="I43" s="323"/>
      <c r="K43" s="120"/>
      <c r="L43" s="120"/>
      <c r="M43" s="120"/>
      <c r="N43" s="120"/>
    </row>
    <row r="44" spans="2:14" x14ac:dyDescent="0.2">
      <c r="B44" s="2"/>
      <c r="C44" s="2"/>
      <c r="D44" s="322"/>
      <c r="E44" s="323"/>
      <c r="F44" s="322"/>
      <c r="G44" s="323"/>
      <c r="H44" s="322"/>
      <c r="I44" s="323"/>
    </row>
    <row r="45" spans="2:14" x14ac:dyDescent="0.2">
      <c r="B45" s="2"/>
      <c r="C45" s="2"/>
      <c r="D45" s="322"/>
      <c r="E45" s="323"/>
      <c r="F45" s="322"/>
      <c r="G45" s="323"/>
      <c r="H45" s="322"/>
      <c r="I45" s="323"/>
    </row>
    <row r="46" spans="2:14" x14ac:dyDescent="0.2">
      <c r="B46" s="2"/>
      <c r="C46" s="2"/>
      <c r="D46" s="322"/>
      <c r="E46" s="323"/>
      <c r="F46" s="322"/>
      <c r="G46" s="323"/>
      <c r="H46" s="322"/>
      <c r="I46" s="323"/>
    </row>
    <row r="47" spans="2:14" x14ac:dyDescent="0.2">
      <c r="B47" s="2"/>
      <c r="C47" s="2"/>
      <c r="D47" s="322"/>
      <c r="E47" s="323"/>
      <c r="F47" s="322"/>
      <c r="G47" s="323"/>
      <c r="H47" s="322"/>
      <c r="I47" s="323"/>
    </row>
    <row r="48" spans="2:14" x14ac:dyDescent="0.2">
      <c r="B48" s="2"/>
      <c r="C48" s="2"/>
      <c r="D48" s="322"/>
      <c r="E48" s="323"/>
      <c r="F48" s="327"/>
      <c r="G48" s="328"/>
      <c r="H48" s="322"/>
      <c r="I48" s="323"/>
    </row>
    <row r="49" spans="2:9" x14ac:dyDescent="0.2">
      <c r="B49" s="2"/>
      <c r="C49" s="2"/>
      <c r="D49" s="322"/>
      <c r="E49" s="323"/>
      <c r="F49" s="322"/>
      <c r="G49" s="323"/>
      <c r="H49" s="322"/>
      <c r="I49" s="323"/>
    </row>
    <row r="50" spans="2:9" x14ac:dyDescent="0.2">
      <c r="B50" s="2"/>
      <c r="C50" s="2"/>
      <c r="D50" s="322"/>
      <c r="E50" s="323"/>
      <c r="F50" s="322"/>
      <c r="G50" s="323"/>
      <c r="H50" s="322"/>
      <c r="I50" s="323"/>
    </row>
    <row r="51" spans="2:9" x14ac:dyDescent="0.2">
      <c r="B51" s="2"/>
      <c r="C51" s="2"/>
      <c r="D51" s="322"/>
      <c r="E51" s="323"/>
      <c r="F51" s="322"/>
      <c r="G51" s="323"/>
      <c r="H51" s="322"/>
      <c r="I51" s="323"/>
    </row>
    <row r="52" spans="2:9" x14ac:dyDescent="0.2">
      <c r="B52" s="2"/>
      <c r="C52" s="2"/>
      <c r="D52" s="322"/>
      <c r="E52" s="323"/>
      <c r="F52" s="322"/>
      <c r="G52" s="323"/>
      <c r="H52" s="322"/>
      <c r="I52" s="323"/>
    </row>
    <row r="53" spans="2:9" x14ac:dyDescent="0.2">
      <c r="B53" s="2"/>
      <c r="C53" s="2"/>
      <c r="D53" s="322"/>
      <c r="E53" s="323"/>
      <c r="F53" s="322"/>
      <c r="G53" s="323"/>
      <c r="H53" s="322"/>
      <c r="I53" s="323"/>
    </row>
    <row r="54" spans="2:9" x14ac:dyDescent="0.2">
      <c r="B54" s="2"/>
      <c r="C54" s="2"/>
      <c r="D54" s="322"/>
      <c r="E54" s="323"/>
      <c r="F54" s="322"/>
      <c r="G54" s="323"/>
      <c r="H54" s="322"/>
      <c r="I54" s="323"/>
    </row>
    <row r="55" spans="2:9" x14ac:dyDescent="0.2">
      <c r="B55" s="2"/>
      <c r="C55" s="2"/>
      <c r="D55" s="322"/>
      <c r="E55" s="323"/>
      <c r="F55" s="322"/>
      <c r="G55" s="323"/>
      <c r="H55" s="322"/>
      <c r="I55" s="323"/>
    </row>
    <row r="56" spans="2:9" x14ac:dyDescent="0.2">
      <c r="B56" s="2"/>
      <c r="C56" s="2"/>
      <c r="D56" s="322"/>
      <c r="E56" s="323"/>
      <c r="F56" s="322"/>
      <c r="G56" s="323"/>
      <c r="H56" s="322"/>
      <c r="I56" s="323"/>
    </row>
    <row r="57" spans="2:9" x14ac:dyDescent="0.2">
      <c r="B57" s="2"/>
      <c r="C57" s="2"/>
      <c r="D57" s="322"/>
      <c r="E57" s="323"/>
      <c r="F57" s="322"/>
      <c r="G57" s="323"/>
      <c r="H57" s="322"/>
      <c r="I57" s="323"/>
    </row>
    <row r="58" spans="2:9" x14ac:dyDescent="0.2">
      <c r="B58" s="2"/>
      <c r="C58" s="2"/>
      <c r="D58" s="322"/>
      <c r="E58" s="323"/>
      <c r="F58" s="322"/>
      <c r="G58" s="323"/>
      <c r="H58" s="322"/>
      <c r="I58" s="323"/>
    </row>
    <row r="59" spans="2:9" x14ac:dyDescent="0.2">
      <c r="B59" s="2"/>
      <c r="C59" s="2"/>
      <c r="D59" s="322"/>
      <c r="E59" s="323"/>
      <c r="F59" s="322"/>
      <c r="G59" s="323"/>
      <c r="H59" s="322"/>
      <c r="I59" s="323"/>
    </row>
    <row r="60" spans="2:9" x14ac:dyDescent="0.2">
      <c r="B60" s="2"/>
      <c r="C60" s="2"/>
      <c r="D60" s="322"/>
      <c r="E60" s="323"/>
      <c r="F60" s="322"/>
      <c r="G60" s="323"/>
      <c r="H60" s="322"/>
      <c r="I60" s="323"/>
    </row>
    <row r="61" spans="2:9" x14ac:dyDescent="0.2">
      <c r="B61" s="305" t="str">
        <f>INDEX(PRIJEVODI!B:D,MATCH("PDV-S-015",PRIJEVODI!A:A,0),MATCH(NASLOV!$B$2,PRIJEVODI!$B$1:$D$1,0))</f>
        <v>Gesamtwert</v>
      </c>
      <c r="C61" s="260"/>
      <c r="D61" s="260"/>
      <c r="E61" s="266"/>
      <c r="F61" s="339">
        <f>+F36</f>
        <v>0</v>
      </c>
      <c r="G61" s="266"/>
      <c r="H61" s="339">
        <f>+H37+H38</f>
        <v>0</v>
      </c>
      <c r="I61" s="266"/>
    </row>
    <row r="62" spans="2:9" x14ac:dyDescent="0.2">
      <c r="B62" s="262"/>
      <c r="C62" s="263"/>
      <c r="D62" s="263"/>
      <c r="E62" s="264"/>
      <c r="F62" s="262"/>
      <c r="G62" s="264"/>
      <c r="H62" s="262"/>
      <c r="I62" s="264"/>
    </row>
    <row r="70" spans="2:14" x14ac:dyDescent="0.2">
      <c r="B70" s="267" t="str">
        <f>INDEX(PRIJEVODI!B:D,MATCH("PDV-S-016",PRIJEVODI!A:A,0),MATCH(NASLOV!$B$2,PRIJEVODI!$B$1:$D$1,0))</f>
        <v>Hiermit bestätige ich die Richtigkeit der genannten Daten</v>
      </c>
      <c r="C70" s="276"/>
      <c r="D70" s="276"/>
      <c r="E70" s="276"/>
      <c r="F70" s="276"/>
      <c r="G70" s="276"/>
      <c r="H70" s="273"/>
      <c r="J70" s="267" t="str">
        <f>INDEX(PRIJEVODI!B:D,MATCH("PDV-S-018",PRIJEVODI!A:A,0),MATCH(NASLOV!$B$2,PRIJEVODI!$B$1:$D$1,0))</f>
        <v>Unterschrift     (16)</v>
      </c>
      <c r="K70" s="273"/>
      <c r="L70" s="267"/>
      <c r="M70" s="276"/>
      <c r="N70" s="273"/>
    </row>
    <row r="71" spans="2:14" x14ac:dyDescent="0.2">
      <c r="B71" s="269"/>
      <c r="C71" s="277"/>
      <c r="D71" s="277"/>
      <c r="E71" s="277"/>
      <c r="F71" s="277"/>
      <c r="G71" s="277"/>
      <c r="H71" s="278"/>
      <c r="J71" s="269"/>
      <c r="K71" s="278"/>
      <c r="L71" s="269"/>
      <c r="M71" s="277"/>
      <c r="N71" s="278"/>
    </row>
    <row r="72" spans="2:14" x14ac:dyDescent="0.2">
      <c r="B72" s="306" t="str">
        <f>INDEX(PRIJEVODI!B:D,MATCH("PDV-S-017",PRIJEVODI!A:A,0),MATCH(NASLOV!$B$2,PRIJEVODI!$B$1:$D$1,0))</f>
        <v>Berechnung verfasst von (Name und Nachname)  (15)</v>
      </c>
      <c r="C72" s="307"/>
      <c r="D72" s="308"/>
      <c r="E72" s="267" t="s">
        <v>568</v>
      </c>
      <c r="F72" s="276"/>
      <c r="G72" s="276"/>
      <c r="H72" s="273"/>
      <c r="J72" s="242" t="str">
        <f>INDEX(PRIJEVODI!B:D,MATCH("PDV-S-019",PRIJEVODI!A:A,0),MATCH(NASLOV!$B$2,PRIJEVODI!$B$1:$D$1,0))</f>
        <v>Telefonnummer / Fax /E-Mail  (17)</v>
      </c>
      <c r="K72" s="243"/>
      <c r="L72" s="329" t="s">
        <v>569</v>
      </c>
      <c r="M72" s="319"/>
      <c r="N72" s="243"/>
    </row>
    <row r="73" spans="2:14" ht="24" customHeight="1" x14ac:dyDescent="0.2">
      <c r="B73" s="309"/>
      <c r="C73" s="310"/>
      <c r="D73" s="311"/>
      <c r="E73" s="269"/>
      <c r="F73" s="277"/>
      <c r="G73" s="277"/>
      <c r="H73" s="278"/>
      <c r="J73" s="246"/>
      <c r="K73" s="247"/>
      <c r="L73" s="246"/>
      <c r="M73" s="321"/>
      <c r="N73" s="247"/>
    </row>
  </sheetData>
  <mergeCells count="104">
    <mergeCell ref="D50:E50"/>
    <mergeCell ref="D51:E51"/>
    <mergeCell ref="D52:E52"/>
    <mergeCell ref="D53:E53"/>
    <mergeCell ref="F54:G54"/>
    <mergeCell ref="H54:I54"/>
    <mergeCell ref="F55:G55"/>
    <mergeCell ref="H55:I55"/>
    <mergeCell ref="F53:G53"/>
    <mergeCell ref="F52:G52"/>
    <mergeCell ref="F51:G51"/>
    <mergeCell ref="F50:G50"/>
    <mergeCell ref="L70:N71"/>
    <mergeCell ref="J72:K73"/>
    <mergeCell ref="L72:N73"/>
    <mergeCell ref="J13:K14"/>
    <mergeCell ref="B20:I23"/>
    <mergeCell ref="B70:H71"/>
    <mergeCell ref="F60:G60"/>
    <mergeCell ref="H60:I60"/>
    <mergeCell ref="F61:G62"/>
    <mergeCell ref="H61:I62"/>
    <mergeCell ref="F57:G57"/>
    <mergeCell ref="H57:I57"/>
    <mergeCell ref="F58:G58"/>
    <mergeCell ref="H58:I58"/>
    <mergeCell ref="F59:G59"/>
    <mergeCell ref="H59:I59"/>
    <mergeCell ref="F48:G48"/>
    <mergeCell ref="B72:D73"/>
    <mergeCell ref="E72:H73"/>
    <mergeCell ref="J70:K71"/>
    <mergeCell ref="H53:I53"/>
    <mergeCell ref="H48:I48"/>
    <mergeCell ref="H49:I49"/>
    <mergeCell ref="H50:I50"/>
    <mergeCell ref="F56:G56"/>
    <mergeCell ref="H56:I56"/>
    <mergeCell ref="H51:I51"/>
    <mergeCell ref="H52:I52"/>
    <mergeCell ref="I3:K4"/>
    <mergeCell ref="G6:H7"/>
    <mergeCell ref="I6:I7"/>
    <mergeCell ref="J6:K7"/>
    <mergeCell ref="G8:H10"/>
    <mergeCell ref="I8:K10"/>
    <mergeCell ref="G11:H12"/>
    <mergeCell ref="I11:K12"/>
    <mergeCell ref="G13:H14"/>
    <mergeCell ref="I13:I14"/>
    <mergeCell ref="F45:G45"/>
    <mergeCell ref="H45:I45"/>
    <mergeCell ref="F49:G49"/>
    <mergeCell ref="H38:I38"/>
    <mergeCell ref="H36:I36"/>
    <mergeCell ref="H37:I37"/>
    <mergeCell ref="F47:G47"/>
    <mergeCell ref="H47:I47"/>
    <mergeCell ref="F42:G42"/>
    <mergeCell ref="H42:I42"/>
    <mergeCell ref="D60:E60"/>
    <mergeCell ref="B61:E62"/>
    <mergeCell ref="F26:G35"/>
    <mergeCell ref="H26:I35"/>
    <mergeCell ref="F37:G37"/>
    <mergeCell ref="F38:G38"/>
    <mergeCell ref="D54:E54"/>
    <mergeCell ref="D55:E55"/>
    <mergeCell ref="D56:E56"/>
    <mergeCell ref="D57:E57"/>
    <mergeCell ref="D58:E58"/>
    <mergeCell ref="D59:E59"/>
    <mergeCell ref="D48:E48"/>
    <mergeCell ref="D49:E49"/>
    <mergeCell ref="D41:E41"/>
    <mergeCell ref="B26:B35"/>
    <mergeCell ref="F39:G39"/>
    <mergeCell ref="H39:I39"/>
    <mergeCell ref="F40:G40"/>
    <mergeCell ref="H40:I40"/>
    <mergeCell ref="F41:G41"/>
    <mergeCell ref="H41:I41"/>
    <mergeCell ref="F46:G46"/>
    <mergeCell ref="H46:I46"/>
    <mergeCell ref="H43:I43"/>
    <mergeCell ref="F44:G44"/>
    <mergeCell ref="H44:I44"/>
    <mergeCell ref="F43:G43"/>
    <mergeCell ref="D45:E45"/>
    <mergeCell ref="D46:E46"/>
    <mergeCell ref="D47:E47"/>
    <mergeCell ref="B6:C8"/>
    <mergeCell ref="D6:E8"/>
    <mergeCell ref="B9:C11"/>
    <mergeCell ref="D9:E11"/>
    <mergeCell ref="D40:E40"/>
    <mergeCell ref="D36:E36"/>
    <mergeCell ref="D37:E37"/>
    <mergeCell ref="D39:E39"/>
    <mergeCell ref="C26:C35"/>
    <mergeCell ref="D26:E35"/>
    <mergeCell ref="D42:E42"/>
    <mergeCell ref="D43:E43"/>
    <mergeCell ref="D44:E44"/>
  </mergeCells>
  <hyperlinks>
    <hyperlink ref="L72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B5" sqref="B5"/>
    </sheetView>
  </sheetViews>
  <sheetFormatPr baseColWidth="10" defaultColWidth="9" defaultRowHeight="12.75" x14ac:dyDescent="0.2"/>
  <sheetData>
    <row r="1" spans="1:2" ht="15" x14ac:dyDescent="0.25">
      <c r="A1" s="139" t="s">
        <v>592</v>
      </c>
      <c r="B1" s="139" t="s">
        <v>593</v>
      </c>
    </row>
    <row r="2" spans="1:2" ht="15" x14ac:dyDescent="0.25">
      <c r="A2" s="140">
        <v>44044</v>
      </c>
      <c r="B2" s="139">
        <v>7.4844850000000003</v>
      </c>
    </row>
    <row r="3" spans="1:2" ht="15" x14ac:dyDescent="0.25">
      <c r="A3" s="140">
        <v>44045</v>
      </c>
      <c r="B3" s="139">
        <v>7.4844850000000003</v>
      </c>
    </row>
    <row r="4" spans="1:2" ht="15" x14ac:dyDescent="0.25">
      <c r="A4" s="140">
        <v>44046</v>
      </c>
      <c r="B4" s="139">
        <v>7.4844850000000003</v>
      </c>
    </row>
    <row r="5" spans="1:2" ht="15" x14ac:dyDescent="0.25">
      <c r="A5" s="140">
        <v>44047</v>
      </c>
      <c r="B5" s="139">
        <v>7.4804599999999999</v>
      </c>
    </row>
    <row r="6" spans="1:2" ht="15" x14ac:dyDescent="0.25">
      <c r="A6" s="140">
        <v>44048</v>
      </c>
      <c r="B6" s="139">
        <v>7.4696179999999996</v>
      </c>
    </row>
    <row r="7" spans="1:2" ht="15" x14ac:dyDescent="0.25">
      <c r="A7" s="140">
        <v>44049</v>
      </c>
      <c r="B7" s="139">
        <v>7.4696179999999996</v>
      </c>
    </row>
    <row r="8" spans="1:2" ht="15" x14ac:dyDescent="0.25">
      <c r="A8" s="140">
        <v>44050</v>
      </c>
      <c r="B8" s="139">
        <v>7.4676099999999996</v>
      </c>
    </row>
    <row r="9" spans="1:2" ht="15" x14ac:dyDescent="0.25">
      <c r="A9" s="140">
        <v>44051</v>
      </c>
      <c r="B9" s="139">
        <v>7.4619070000000001</v>
      </c>
    </row>
    <row r="10" spans="1:2" ht="15" x14ac:dyDescent="0.25">
      <c r="A10" s="140">
        <v>44052</v>
      </c>
      <c r="B10" s="139">
        <v>7.4619070000000001</v>
      </c>
    </row>
    <row r="11" spans="1:2" ht="15" x14ac:dyDescent="0.25">
      <c r="A11" s="140">
        <v>44053</v>
      </c>
      <c r="B11" s="139">
        <v>7.4619070000000001</v>
      </c>
    </row>
    <row r="12" spans="1:2" ht="15" x14ac:dyDescent="0.25">
      <c r="A12" s="140">
        <v>44054</v>
      </c>
      <c r="B12" s="139">
        <v>7.4572430000000001</v>
      </c>
    </row>
    <row r="13" spans="1:2" ht="15" x14ac:dyDescent="0.25">
      <c r="A13" s="140">
        <v>44055</v>
      </c>
      <c r="B13" s="139">
        <v>7.4639470000000001</v>
      </c>
    </row>
    <row r="14" spans="1:2" ht="15" x14ac:dyDescent="0.25">
      <c r="A14" s="140">
        <v>44056</v>
      </c>
      <c r="B14" s="139">
        <v>7.4771850000000004</v>
      </c>
    </row>
    <row r="15" spans="1:2" ht="15" x14ac:dyDescent="0.25">
      <c r="A15" s="140">
        <v>44057</v>
      </c>
      <c r="B15" s="139">
        <v>7.4775299999999998</v>
      </c>
    </row>
    <row r="16" spans="1:2" ht="15" x14ac:dyDescent="0.25">
      <c r="A16" s="140">
        <v>44058</v>
      </c>
      <c r="B16" s="139">
        <v>7.4989460000000001</v>
      </c>
    </row>
    <row r="17" spans="1:2" ht="15" x14ac:dyDescent="0.25">
      <c r="A17" s="140">
        <v>44059</v>
      </c>
      <c r="B17" s="139">
        <v>7.4989460000000001</v>
      </c>
    </row>
    <row r="18" spans="1:2" ht="15" x14ac:dyDescent="0.25">
      <c r="A18" s="140">
        <v>44060</v>
      </c>
      <c r="B18" s="139">
        <v>7.4989460000000001</v>
      </c>
    </row>
    <row r="19" spans="1:2" ht="15" x14ac:dyDescent="0.25">
      <c r="A19" s="140">
        <v>44061</v>
      </c>
      <c r="B19" s="139">
        <v>7.5233439999999998</v>
      </c>
    </row>
    <row r="20" spans="1:2" ht="15" x14ac:dyDescent="0.25">
      <c r="A20" s="140">
        <v>44062</v>
      </c>
      <c r="B20" s="139">
        <v>7.520359</v>
      </c>
    </row>
    <row r="21" spans="1:2" ht="15" x14ac:dyDescent="0.25">
      <c r="A21" s="140">
        <v>44063</v>
      </c>
      <c r="B21" s="139">
        <v>7.5247999999999999</v>
      </c>
    </row>
    <row r="22" spans="1:2" ht="15" x14ac:dyDescent="0.25">
      <c r="A22" s="140">
        <v>44064</v>
      </c>
      <c r="B22" s="139">
        <v>7.5261110000000002</v>
      </c>
    </row>
    <row r="23" spans="1:2" ht="15" x14ac:dyDescent="0.25">
      <c r="A23" s="140">
        <v>44065</v>
      </c>
      <c r="B23" s="139">
        <v>7.5255679999999998</v>
      </c>
    </row>
    <row r="24" spans="1:2" ht="15" x14ac:dyDescent="0.25">
      <c r="A24" s="140">
        <v>44066</v>
      </c>
      <c r="B24" s="139">
        <v>7.5255679999999998</v>
      </c>
    </row>
    <row r="25" spans="1:2" ht="15" x14ac:dyDescent="0.25">
      <c r="A25" s="140">
        <v>44067</v>
      </c>
      <c r="B25" s="139">
        <v>7.5255679999999998</v>
      </c>
    </row>
    <row r="26" spans="1:2" ht="15" x14ac:dyDescent="0.25">
      <c r="A26" s="140">
        <v>44068</v>
      </c>
      <c r="B26" s="139">
        <v>7.521439</v>
      </c>
    </row>
    <row r="27" spans="1:2" ht="15" x14ac:dyDescent="0.25">
      <c r="A27" s="140">
        <v>44069</v>
      </c>
      <c r="B27" s="139">
        <v>7.5273529999999997</v>
      </c>
    </row>
    <row r="28" spans="1:2" ht="15" x14ac:dyDescent="0.25">
      <c r="A28" s="140">
        <v>44070</v>
      </c>
      <c r="B28" s="139">
        <v>7.5241870000000004</v>
      </c>
    </row>
    <row r="29" spans="1:2" ht="15" x14ac:dyDescent="0.25">
      <c r="A29" s="140">
        <v>44071</v>
      </c>
      <c r="B29" s="139">
        <v>7.5210140000000001</v>
      </c>
    </row>
    <row r="30" spans="1:2" ht="15" x14ac:dyDescent="0.25">
      <c r="A30" s="140">
        <v>44072</v>
      </c>
      <c r="B30" s="139">
        <v>7.5191929999999996</v>
      </c>
    </row>
    <row r="31" spans="1:2" ht="15" x14ac:dyDescent="0.25">
      <c r="A31" s="140">
        <v>44073</v>
      </c>
      <c r="B31" s="139">
        <v>7.5191929999999996</v>
      </c>
    </row>
    <row r="32" spans="1:2" ht="15" x14ac:dyDescent="0.25">
      <c r="A32" s="140">
        <v>44074</v>
      </c>
      <c r="B32" s="139">
        <v>7.5191929999999996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11"/>
  <sheetViews>
    <sheetView workbookViewId="0">
      <selection activeCell="C27" sqref="C27"/>
    </sheetView>
  </sheetViews>
  <sheetFormatPr baseColWidth="10" defaultColWidth="9" defaultRowHeight="12.75" x14ac:dyDescent="0.2"/>
  <cols>
    <col min="3" max="3" width="34.75" bestFit="1" customWidth="1"/>
    <col min="4" max="4" width="56.75" bestFit="1" customWidth="1"/>
  </cols>
  <sheetData>
    <row r="2" spans="1:6" x14ac:dyDescent="0.2">
      <c r="A2" t="s">
        <v>600</v>
      </c>
    </row>
    <row r="3" spans="1:6" x14ac:dyDescent="0.2">
      <c r="B3" t="s">
        <v>601</v>
      </c>
      <c r="C3" t="s">
        <v>602</v>
      </c>
      <c r="D3" t="s">
        <v>603</v>
      </c>
      <c r="E3" t="s">
        <v>581</v>
      </c>
      <c r="F3" t="s">
        <v>598</v>
      </c>
    </row>
    <row r="4" spans="1:6" x14ac:dyDescent="0.2">
      <c r="B4" s="145"/>
    </row>
    <row r="5" spans="1:6" x14ac:dyDescent="0.2">
      <c r="B5" s="145"/>
    </row>
    <row r="6" spans="1:6" x14ac:dyDescent="0.2">
      <c r="B6" s="145"/>
    </row>
    <row r="7" spans="1:6" x14ac:dyDescent="0.2">
      <c r="B7" s="145"/>
    </row>
    <row r="8" spans="1:6" x14ac:dyDescent="0.2">
      <c r="B8" s="145"/>
    </row>
    <row r="9" spans="1:6" x14ac:dyDescent="0.2">
      <c r="B9" s="145"/>
    </row>
    <row r="10" spans="1:6" x14ac:dyDescent="0.2">
      <c r="A10" s="144"/>
      <c r="B10" s="145"/>
      <c r="C10" s="125"/>
      <c r="D10" s="125"/>
    </row>
    <row r="11" spans="1:6" x14ac:dyDescent="0.2">
      <c r="B11" s="145"/>
      <c r="C11" s="133"/>
      <c r="D11" s="1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zoomScale="130" zoomScaleNormal="130" workbookViewId="0">
      <selection activeCell="E18" sqref="E18"/>
    </sheetView>
  </sheetViews>
  <sheetFormatPr baseColWidth="10" defaultColWidth="9" defaultRowHeight="12.75" x14ac:dyDescent="0.2"/>
  <cols>
    <col min="1" max="1" width="24.125" customWidth="1"/>
    <col min="2" max="2" width="38.75" bestFit="1" customWidth="1"/>
    <col min="3" max="3" width="12.5" customWidth="1"/>
  </cols>
  <sheetData>
    <row r="2" spans="1:4" x14ac:dyDescent="0.2">
      <c r="A2" s="45" t="s">
        <v>138</v>
      </c>
      <c r="B2" s="45" t="s">
        <v>127</v>
      </c>
    </row>
    <row r="5" spans="1:4" x14ac:dyDescent="0.2">
      <c r="A5" t="str">
        <f>INDEX(PRIJEVODI!B:D,MATCH("NAS-001",PRIJEVODI!A:A,0),MATCH(NASLOV!$B$2,PRIJEVODI!$B$1:$D$1,0))</f>
        <v>Firmenname:</v>
      </c>
      <c r="B5" t="s">
        <v>582</v>
      </c>
    </row>
    <row r="7" spans="1:4" x14ac:dyDescent="0.2">
      <c r="A7" t="str">
        <f>INDEX(PRIJEVODI!B:D,MATCH("NAS-002",PRIJEVODI!A:A,0),MATCH(NASLOV!$B$2,PRIJEVODI!$B$1:$D$1,0))</f>
        <v>Adresse:</v>
      </c>
      <c r="B7" t="s">
        <v>583</v>
      </c>
    </row>
    <row r="9" spans="1:4" x14ac:dyDescent="0.2">
      <c r="A9" t="str">
        <f>INDEX(PRIJEVODI!B:D,MATCH("NAS-003",PRIJEVODI!A:A,0),MATCH(NASLOV!$B$2,PRIJEVODI!$B$1:$D$1,0))</f>
        <v>STEUERNUMMER (UID):</v>
      </c>
      <c r="B9" t="s">
        <v>584</v>
      </c>
    </row>
    <row r="11" spans="1:4" x14ac:dyDescent="0.2">
      <c r="A11" t="str">
        <f>INDEX(PRIJEVODI!B:D,MATCH("NAS-004",PRIJEVODI!A:A,0),MATCH(NASLOV!$B$2,PRIJEVODI!$B$1:$D$1,0))</f>
        <v>NKD:</v>
      </c>
    </row>
    <row r="12" spans="1:4" x14ac:dyDescent="0.2">
      <c r="B12" t="str">
        <f>INDEX(PRIJEVODI!B:D,MATCH("NAS-007",PRIJEVODI!A:A,0),MATCH(NASLOV!$B$2,PRIJEVODI!$B$1:$D$1,0))</f>
        <v>von:</v>
      </c>
      <c r="C12" t="str">
        <f>INDEX(PRIJEVODI!B:D,MATCH("NAS-008",PRIJEVODI!A:A,0),MATCH(NASLOV!$B$2,PRIJEVODI!$B$1:$D$1,0))</f>
        <v>bis:</v>
      </c>
      <c r="D12" t="str">
        <f>INDEX(PRIJEVODI!B:D,MATCH("NAS-009",PRIJEVODI!A:A,0),MATCH(NASLOV!$B$2,PRIJEVODI!$B$1:$D$1,0))</f>
        <v>Jahr:</v>
      </c>
    </row>
    <row r="13" spans="1:4" x14ac:dyDescent="0.2">
      <c r="A13" t="str">
        <f>INDEX(PRIJEVODI!B:D,MATCH("NAS-005",PRIJEVODI!A:A,0),MATCH(NASLOV!$B$2,PRIJEVODI!$B$1:$D$1,0))</f>
        <v>Zeitraum:</v>
      </c>
      <c r="B13" s="65" t="s">
        <v>585</v>
      </c>
      <c r="C13" s="65" t="s">
        <v>586</v>
      </c>
      <c r="D13">
        <v>2020</v>
      </c>
    </row>
    <row r="15" spans="1:4" x14ac:dyDescent="0.2">
      <c r="A15" t="str">
        <f>INDEX(PRIJEVODI!B:D,MATCH("NAS-006",PRIJEVODI!A:A,0),MATCH(NASLOV!$B$2,PRIJEVODI!$B$1:$D$1,0))</f>
        <v>Zuständiges Finanzamt:</v>
      </c>
      <c r="B15" t="s">
        <v>575</v>
      </c>
    </row>
  </sheetData>
  <dataValidations count="1">
    <dataValidation type="list" allowBlank="1" showInputMessage="1" showErrorMessage="1" sqref="B2">
      <formula1>"HRV, ENG, DE"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2346"/>
  <sheetViews>
    <sheetView zoomScale="85" zoomScaleNormal="85" zoomScaleSheetLayoutView="86" workbookViewId="0">
      <selection activeCell="W37" sqref="W37"/>
    </sheetView>
  </sheetViews>
  <sheetFormatPr baseColWidth="10" defaultColWidth="9" defaultRowHeight="12.75" x14ac:dyDescent="0.2"/>
  <cols>
    <col min="1" max="1" width="3.5" customWidth="1"/>
    <col min="3" max="3" width="16" customWidth="1"/>
    <col min="4" max="4" width="11.75" customWidth="1"/>
    <col min="5" max="5" width="31" customWidth="1"/>
    <col min="6" max="6" width="39.75" customWidth="1"/>
    <col min="7" max="7" width="19.5" customWidth="1"/>
    <col min="8" max="8" width="29" customWidth="1"/>
    <col min="9" max="9" width="8.875" customWidth="1"/>
    <col min="11" max="11" width="8.125" customWidth="1"/>
    <col min="12" max="12" width="6.625" customWidth="1"/>
    <col min="13" max="13" width="10.25" customWidth="1"/>
    <col min="16" max="16" width="6.25" customWidth="1"/>
    <col min="17" max="17" width="31.875" bestFit="1" customWidth="1"/>
    <col min="18" max="18" width="14.25" customWidth="1"/>
    <col min="19" max="19" width="11.75" customWidth="1"/>
    <col min="20" max="20" width="7.25" customWidth="1"/>
    <col min="21" max="21" width="12.375" customWidth="1"/>
    <col min="22" max="22" width="10.875" customWidth="1"/>
    <col min="23" max="23" width="11.125" customWidth="1"/>
    <col min="24" max="24" width="12" customWidth="1"/>
  </cols>
  <sheetData>
    <row r="1" spans="1:24" x14ac:dyDescent="0.2">
      <c r="A1" s="254" t="str">
        <f>NASLOV!B5</f>
        <v>Markus Renz</v>
      </c>
      <c r="B1" s="254"/>
      <c r="C1" s="254"/>
      <c r="D1" s="254"/>
      <c r="E1" s="254"/>
      <c r="F1" s="254"/>
      <c r="X1" s="88"/>
    </row>
    <row r="2" spans="1:24" x14ac:dyDescent="0.2">
      <c r="A2" s="254"/>
      <c r="B2" s="254"/>
      <c r="C2" s="254"/>
      <c r="D2" s="254"/>
      <c r="E2" s="254"/>
      <c r="F2" s="254"/>
      <c r="U2" s="252"/>
      <c r="V2" s="252"/>
      <c r="W2" s="23"/>
      <c r="X2" s="88"/>
    </row>
    <row r="3" spans="1:24" x14ac:dyDescent="0.2">
      <c r="C3" s="252" t="str">
        <f>INDEX(PRIJEVODI!B:D,MATCH("IRA-001",PRIJEVODI!A:A,0),MATCH(NASLOV!$B$2,PRIJEVODI!$B$1:$D$1,0))</f>
        <v>STEUERPFLICHTIGER: TITEL /NAME UND NACHNAME</v>
      </c>
      <c r="D3" s="252"/>
      <c r="E3" s="252"/>
      <c r="F3" s="252"/>
      <c r="X3" s="88"/>
    </row>
    <row r="4" spans="1:24" x14ac:dyDescent="0.2">
      <c r="C4" s="253" t="str">
        <f>NASLOV!B7</f>
        <v>Am Sonnblick 6, Lichtenau</v>
      </c>
      <c r="D4" s="253"/>
      <c r="E4" s="253"/>
      <c r="F4" s="253"/>
      <c r="X4" s="88"/>
    </row>
    <row r="5" spans="1:24" x14ac:dyDescent="0.2">
      <c r="C5" s="253"/>
      <c r="D5" s="253"/>
      <c r="E5" s="253"/>
      <c r="F5" s="253"/>
      <c r="X5" s="88"/>
    </row>
    <row r="6" spans="1:24" x14ac:dyDescent="0.2">
      <c r="C6" s="252" t="str">
        <f>INDEX(PRIJEVODI!B:D,MATCH("IRA-002",PRIJEVODI!A:A,0),MATCH(NASLOV!$B$2,PRIJEVODI!$B$1:$D$1,0))</f>
        <v>ADRESSE: ORT, STRASSE UND HAUSNUMMER</v>
      </c>
      <c r="D6" s="252"/>
      <c r="E6" s="252"/>
      <c r="F6" s="252"/>
      <c r="X6" s="88"/>
    </row>
    <row r="7" spans="1:24" x14ac:dyDescent="0.2">
      <c r="C7" s="255"/>
      <c r="D7" s="255"/>
      <c r="E7" s="255"/>
      <c r="F7" s="255"/>
      <c r="X7" s="88"/>
    </row>
    <row r="8" spans="1:24" x14ac:dyDescent="0.2">
      <c r="C8" s="255"/>
      <c r="D8" s="255"/>
      <c r="E8" s="255"/>
      <c r="F8" s="255"/>
      <c r="X8" s="88"/>
    </row>
    <row r="9" spans="1:24" x14ac:dyDescent="0.2">
      <c r="C9" s="252" t="str">
        <f>INDEX(PRIJEVODI!B:D,MATCH("IRA-003",PRIJEVODI!A:A,0),MATCH(NASLOV!$B$2,PRIJEVODI!$B$1:$D$1,0))</f>
        <v>NUMMERIERUNG GEMÄSS DEM NATIONALEN KLASSIFIZIERUNGSSYSTEM</v>
      </c>
      <c r="D9" s="252"/>
      <c r="E9" s="252"/>
      <c r="F9" s="252"/>
      <c r="X9" s="88"/>
    </row>
    <row r="10" spans="1:24" x14ac:dyDescent="0.2">
      <c r="C10" s="252"/>
      <c r="D10" s="252"/>
      <c r="E10" s="252"/>
      <c r="F10" s="252"/>
      <c r="X10" s="88"/>
    </row>
    <row r="11" spans="1:24" x14ac:dyDescent="0.2">
      <c r="C11" s="253" t="str">
        <f>NASLOV!B9</f>
        <v>HR6411581446</v>
      </c>
      <c r="D11" s="253"/>
      <c r="E11" s="253"/>
      <c r="F11" s="253"/>
      <c r="X11" s="88"/>
    </row>
    <row r="12" spans="1:24" x14ac:dyDescent="0.2">
      <c r="C12" s="253"/>
      <c r="D12" s="253"/>
      <c r="E12" s="253"/>
      <c r="F12" s="253"/>
      <c r="X12" s="88"/>
    </row>
    <row r="13" spans="1:24" x14ac:dyDescent="0.2">
      <c r="C13" s="252" t="str">
        <f>INDEX(PRIJEVODI!B:D,MATCH("IRA-004",PRIJEVODI!A:A,0),MATCH(NASLOV!$B$2,PRIJEVODI!$B$1:$D$1,0))</f>
        <v>STEUERNUMMER (UID)</v>
      </c>
      <c r="D13" s="252"/>
      <c r="E13" s="252"/>
      <c r="F13" s="252"/>
      <c r="X13" s="88"/>
    </row>
    <row r="14" spans="1:24" x14ac:dyDescent="0.2">
      <c r="X14" s="88"/>
    </row>
    <row r="15" spans="1:24" x14ac:dyDescent="0.2">
      <c r="G15" s="256" t="str">
        <f>INDEX(PRIJEVODI!B:D,MATCH("IRA-005",PRIJEVODI!A:A,0),MATCH(NASLOV!$B$2,PRIJEVODI!$B$1:$D$1,0))</f>
        <v>AUSGANGSRECHNUNGSBUCH</v>
      </c>
      <c r="H15" s="257"/>
      <c r="I15" s="257"/>
      <c r="J15" s="257"/>
      <c r="K15" s="257"/>
      <c r="M15" s="251" t="s">
        <v>591</v>
      </c>
      <c r="N15" s="251"/>
      <c r="O15" s="251"/>
      <c r="P15" s="270"/>
      <c r="Q15" s="270"/>
      <c r="R15" s="270"/>
      <c r="X15" s="88"/>
    </row>
    <row r="16" spans="1:24" x14ac:dyDescent="0.2">
      <c r="G16" s="257"/>
      <c r="H16" s="257"/>
      <c r="I16" s="257"/>
      <c r="J16" s="257"/>
      <c r="K16" s="257"/>
      <c r="M16" s="251"/>
      <c r="N16" s="251"/>
      <c r="O16" s="251"/>
      <c r="P16" s="270"/>
      <c r="Q16" s="270"/>
      <c r="R16" s="270"/>
      <c r="X16" s="88"/>
    </row>
    <row r="17" spans="2:24" x14ac:dyDescent="0.2">
      <c r="T17" s="257" t="str">
        <f>INDEX(PRIJEVODI!B:D,MATCH("IRA-006",PRIJEVODI!A:A,0),MATCH(NASLOV!$B$2,PRIJEVODI!$B$1:$D$1,0))</f>
        <v>BETRAG IN KUNA UND LIPA</v>
      </c>
      <c r="U17" s="257"/>
      <c r="V17" s="257"/>
      <c r="W17" s="257"/>
      <c r="X17" s="88"/>
    </row>
    <row r="18" spans="2:24" x14ac:dyDescent="0.2">
      <c r="X18" s="89"/>
    </row>
    <row r="19" spans="2:24" x14ac:dyDescent="0.2">
      <c r="B19" s="226" t="str">
        <f>INDEX(PRIJEVODI!B:D,MATCH("IRA-007",PRIJEVODI!A:A,0),MATCH(NASLOV!$B$2,PRIJEVODI!$B$1:$D$1,0))</f>
        <v xml:space="preserve">ORDNUNGSNUMMER </v>
      </c>
      <c r="C19" s="229" t="str">
        <f>INDEX(PRIJEVODI!B:D,MATCH("IRA-008",PRIJEVODI!A:A,0),MATCH(NASLOV!$B$2,PRIJEVODI!$B$1:$D$1,0))</f>
        <v>RECHNUNG</v>
      </c>
      <c r="D19" s="230"/>
      <c r="E19" s="233" t="str">
        <f>INDEX(PRIJEVODI!B:D,MATCH("IRA-011",PRIJEVODI!A:A,0),MATCH(NASLOV!$B$2,PRIJEVODI!$B$1:$D$1,0))</f>
        <v>KUNDE (EMPFÄNGER VON GÜTERN ODER DIENSTLEISTUNGEN)</v>
      </c>
      <c r="F19" s="234"/>
      <c r="G19" s="235"/>
      <c r="H19" s="220" t="str">
        <f>INDEX(PRIJEVODI!B:D,MATCH("IRA-014",PRIJEVODI!A:A,0),MATCH(NASLOV!$B$2,PRIJEVODI!$B$1:$D$1,0))</f>
        <v>BETRAG (inklusive Mehrwertsteuern)</v>
      </c>
      <c r="I19" s="229" t="str">
        <f>INDEX(PRIJEVODI!B:D,MATCH("IRA-015",PRIJEVODI!A:A,0),MATCH(NASLOV!$B$2,PRIJEVODI!$B$1:$D$1,0))</f>
        <v xml:space="preserve">STEUER- UND MEHRWERTSTERERFREIE ERTRÄGE </v>
      </c>
      <c r="J19" s="260"/>
      <c r="K19" s="260"/>
      <c r="L19" s="260"/>
      <c r="M19" s="260"/>
      <c r="N19" s="260"/>
      <c r="O19" s="260"/>
      <c r="P19" s="260"/>
      <c r="Q19" s="260"/>
      <c r="R19" s="266"/>
      <c r="S19" s="229" t="str">
        <f>INDEX(PRIJEVODI!B:D,MATCH("IRA-026",PRIJEVODI!A:A,0),MATCH(NASLOV!$B$2,PRIJEVODI!$B$1:$D$1,0))</f>
        <v xml:space="preserve">STEUERPFLICHTIG </v>
      </c>
      <c r="T19" s="260"/>
      <c r="U19" s="260"/>
      <c r="V19" s="260"/>
      <c r="W19" s="260"/>
      <c r="X19" s="261"/>
    </row>
    <row r="20" spans="2:24" ht="12.75" customHeight="1" x14ac:dyDescent="0.2">
      <c r="B20" s="227"/>
      <c r="C20" s="231"/>
      <c r="D20" s="232"/>
      <c r="E20" s="236"/>
      <c r="F20" s="237"/>
      <c r="G20" s="238"/>
      <c r="H20" s="221"/>
      <c r="I20" s="262"/>
      <c r="J20" s="263"/>
      <c r="K20" s="263"/>
      <c r="L20" s="263"/>
      <c r="M20" s="263"/>
      <c r="N20" s="263"/>
      <c r="O20" s="263"/>
      <c r="P20" s="263"/>
      <c r="Q20" s="263"/>
      <c r="R20" s="264"/>
      <c r="S20" s="262"/>
      <c r="T20" s="263"/>
      <c r="U20" s="263"/>
      <c r="V20" s="263"/>
      <c r="W20" s="263"/>
      <c r="X20" s="264"/>
    </row>
    <row r="21" spans="2:24" ht="12.75" customHeight="1" x14ac:dyDescent="0.2">
      <c r="B21" s="227"/>
      <c r="C21" s="239" t="str">
        <f>INDEX(PRIJEVODI!B:D,MATCH("IRA-009",PRIJEVODI!A:A,0),MATCH(NASLOV!$B$2,PRIJEVODI!$B$1:$D$1,0))</f>
        <v xml:space="preserve">NUMMER </v>
      </c>
      <c r="D21" s="239" t="str">
        <f>INDEX(PRIJEVODI!B:D,MATCH("IRA-010",PRIJEVODI!A:A,0),MATCH(NASLOV!$B$2,PRIJEVODI!$B$1:$D$1,0))</f>
        <v>DATUM</v>
      </c>
      <c r="E21" s="242" t="str">
        <f>INDEX(PRIJEVODI!B:D,MATCH("IRA-012",PRIJEVODI!A:A,0),MATCH(NASLOV!$B$2,PRIJEVODI!$B$1:$D$1,0))</f>
        <v>TITEL - NAME UND NACHNAME UND GESCHÄFTSSITZ / SITZORT</v>
      </c>
      <c r="F21" s="243"/>
      <c r="G21" s="248" t="str">
        <f>INDEX(PRIJEVODI!B:D,MATCH("IRA-013",PRIJEVODI!A:A,0),MATCH(NASLOV!$B$2,PRIJEVODI!$B$1:$D$1,0))</f>
        <v>STEUERNUMMER (UID)</v>
      </c>
      <c r="H21" s="221"/>
      <c r="I21" s="223" t="str">
        <f>INDEX(PRIJEVODI!B:D,MATCH("IRA-016",PRIJEVODI!A:A,0),MATCH(NASLOV!$B$2,PRIJEVODI!$B$1:$D$1,0))</f>
        <v>INLAND ÜBERTRAGUNG DER STEUERPFLICHT</v>
      </c>
      <c r="J21" s="223" t="str">
        <f>INDEX(PRIJEVODI!B:D,MATCH("IRA-017",PRIJEVODI!A:A,0),MATCH(NASLOV!$B$2,PRIJEVODI!$B$1:$D$1,0))</f>
        <v>LIEFERUNG VON GÜTERN IN ANDERE EU MITGLIEDSTAATEN</v>
      </c>
      <c r="K21" s="223" t="str">
        <f>INDEX(PRIJEVODI!B:D,MATCH("IRA-018",PRIJEVODI!A:A,0),MATCH(NASLOV!$B$2,PRIJEVODI!$B$1:$D$1,0))</f>
        <v>LIEFERUNG VON GÜTERN INNERHALB DER EU</v>
      </c>
      <c r="L21" s="223" t="str">
        <f>INDEX(PRIJEVODI!B:D,MATCH("IRA-019",PRIJEVODI!A:A,0),MATCH(NASLOV!$B$2,PRIJEVODI!$B$1:$D$1,0))</f>
        <v>ERBRACHTE DIENSTLEISTUNGEN INNERHALB DER EU</v>
      </c>
      <c r="M21" s="223" t="str">
        <f>INDEX(PRIJEVODI!B:D,MATCH("IRA-020",PRIJEVODI!A:A,0),MATCH(NASLOV!$B$2,PRIJEVODI!$B$1:$D$1,0))</f>
        <v xml:space="preserve">ERBRACHTE DIENSTLEISTUNGEN AN PERSONEN OHNE SITZ IN KROATIEN   </v>
      </c>
      <c r="N21" s="223" t="str">
        <f>INDEX(PRIJEVODI!B:D,MATCH("IRA-021",PRIJEVODI!A:A,0),MATCH(NASLOV!$B$2,PRIJEVODI!$B$1:$D$1,0))</f>
        <v>MONTAGE UND INSTALLATION VON GÜTERN IN EINEM ANDEREN EU MITGLIEDSTAAT</v>
      </c>
      <c r="O21" s="223" t="str">
        <f>INDEX(PRIJEVODI!B:D,MATCH("IRA-022",PRIJEVODI!A:A,0),MATCH(NASLOV!$B$2,PRIJEVODI!$B$1:$D$1,0))</f>
        <v>LIEFERUNG NEUER TRANSPORTMITTEL (NTM) IN DIE EU</v>
      </c>
      <c r="P21" s="223" t="str">
        <f>INDEX(PRIJEVODI!B:D,MATCH("IRA-023",PRIJEVODI!A:A,0),MATCH(NASLOV!$B$2,PRIJEVODI!$B$1:$D$1,0))</f>
        <v>IM INLAND</v>
      </c>
      <c r="Q21" s="223" t="str">
        <f>INDEX(PRIJEVODI!B:D,MATCH("IRA-024",PRIJEVODI!A:A,0),MATCH(NASLOV!$B$2,PRIJEVODI!$B$1:$D$1,0))</f>
        <v>EXPORTLIEFERUNG</v>
      </c>
      <c r="R21" s="223" t="str">
        <f>INDEX(PRIJEVODI!B:D,MATCH("IRA-025",PRIJEVODI!A:A,0),MATCH(NASLOV!$B$2,PRIJEVODI!$B$1:$D$1,0))</f>
        <v>SONSTIGE STEUERBEFREIUNGEN</v>
      </c>
      <c r="S21" s="265">
        <v>0.05</v>
      </c>
      <c r="T21" s="266"/>
      <c r="U21" s="265">
        <v>0.13</v>
      </c>
      <c r="V21" s="266"/>
      <c r="W21" s="265">
        <v>0.25</v>
      </c>
      <c r="X21" s="266"/>
    </row>
    <row r="22" spans="2:24" x14ac:dyDescent="0.2">
      <c r="B22" s="227"/>
      <c r="C22" s="240"/>
      <c r="D22" s="240"/>
      <c r="E22" s="244"/>
      <c r="F22" s="245"/>
      <c r="G22" s="249"/>
      <c r="H22" s="221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62"/>
      <c r="T22" s="264"/>
      <c r="U22" s="262"/>
      <c r="V22" s="264"/>
      <c r="W22" s="262"/>
      <c r="X22" s="264"/>
    </row>
    <row r="23" spans="2:24" x14ac:dyDescent="0.2">
      <c r="B23" s="227"/>
      <c r="C23" s="240"/>
      <c r="D23" s="240"/>
      <c r="E23" s="244"/>
      <c r="F23" s="245"/>
      <c r="G23" s="249"/>
      <c r="H23" s="221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39" t="str">
        <f>INDEX(PRIJEVODI!B:D,MATCH("IRA-028",PRIJEVODI!A:A,0),MATCH(NASLOV!$B$2,PRIJEVODI!$B$1:$D$1,0))</f>
        <v>LIEFERWERT</v>
      </c>
      <c r="T23" s="239" t="str">
        <f>INDEX(PRIJEVODI!B:D,MATCH("IRA-029",PRIJEVODI!A:A,0),MATCH(NASLOV!$B$2,PRIJEVODI!$B$1:$D$1,0))</f>
        <v>STEUER</v>
      </c>
      <c r="U23" s="239" t="str">
        <f>INDEX(PRIJEVODI!B:D,MATCH("IRA-031",PRIJEVODI!A:A,0),MATCH(NASLOV!$B$2,PRIJEVODI!$B$1:$D$1,0))</f>
        <v>LIEFERWERT</v>
      </c>
      <c r="V23" s="239" t="str">
        <f>INDEX(PRIJEVODI!B:D,MATCH("IRA-032",PRIJEVODI!A:A,0),MATCH(NASLOV!$B$2,PRIJEVODI!$B$1:$D$1,0))</f>
        <v>STEUER</v>
      </c>
      <c r="W23" s="267" t="str">
        <f>INDEX(PRIJEVODI!B:D,MATCH("IRA-034",PRIJEVODI!A:A,0),MATCH(NASLOV!$B$2,PRIJEVODI!$B$1:$D$1,0))</f>
        <v>LIEFERWERT</v>
      </c>
      <c r="X23" s="239" t="str">
        <f>INDEX(PRIJEVODI!B:D,MATCH("IRA-035",PRIJEVODI!A:A,0),MATCH(NASLOV!$B$2,PRIJEVODI!$B$1:$D$1,0))</f>
        <v>STEUER</v>
      </c>
    </row>
    <row r="24" spans="2:24" x14ac:dyDescent="0.2">
      <c r="B24" s="227"/>
      <c r="C24" s="240"/>
      <c r="D24" s="240"/>
      <c r="E24" s="244"/>
      <c r="F24" s="245"/>
      <c r="G24" s="249"/>
      <c r="H24" s="221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40"/>
      <c r="T24" s="240"/>
      <c r="U24" s="240"/>
      <c r="V24" s="240"/>
      <c r="W24" s="268"/>
      <c r="X24" s="240"/>
    </row>
    <row r="25" spans="2:24" x14ac:dyDescent="0.2">
      <c r="B25" s="227"/>
      <c r="C25" s="240"/>
      <c r="D25" s="240"/>
      <c r="E25" s="244"/>
      <c r="F25" s="245"/>
      <c r="G25" s="249"/>
      <c r="H25" s="221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40"/>
      <c r="T25" s="240"/>
      <c r="U25" s="240"/>
      <c r="V25" s="240"/>
      <c r="W25" s="268"/>
      <c r="X25" s="240"/>
    </row>
    <row r="26" spans="2:24" x14ac:dyDescent="0.2">
      <c r="B26" s="227"/>
      <c r="C26" s="240"/>
      <c r="D26" s="240"/>
      <c r="E26" s="244"/>
      <c r="F26" s="245"/>
      <c r="G26" s="249"/>
      <c r="H26" s="221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40"/>
      <c r="T26" s="240"/>
      <c r="U26" s="240"/>
      <c r="V26" s="240"/>
      <c r="W26" s="268"/>
      <c r="X26" s="240"/>
    </row>
    <row r="27" spans="2:24" ht="17.25" customHeight="1" x14ac:dyDescent="0.2">
      <c r="B27" s="228"/>
      <c r="C27" s="241"/>
      <c r="D27" s="241"/>
      <c r="E27" s="246"/>
      <c r="F27" s="247"/>
      <c r="G27" s="250"/>
      <c r="H27" s="222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41"/>
      <c r="T27" s="241"/>
      <c r="U27" s="241"/>
      <c r="V27" s="241"/>
      <c r="W27" s="269"/>
      <c r="X27" s="241"/>
    </row>
    <row r="28" spans="2:24" x14ac:dyDescent="0.2">
      <c r="B28" s="3">
        <v>1</v>
      </c>
      <c r="C28" s="3">
        <v>2</v>
      </c>
      <c r="D28" s="3">
        <v>3</v>
      </c>
      <c r="E28" s="258">
        <v>4</v>
      </c>
      <c r="F28" s="259"/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  <c r="O28" s="3">
        <v>13</v>
      </c>
      <c r="P28" s="3">
        <v>14</v>
      </c>
      <c r="Q28" s="3">
        <v>15</v>
      </c>
      <c r="R28" s="4">
        <v>16</v>
      </c>
      <c r="S28" s="3">
        <v>17</v>
      </c>
      <c r="T28" s="4">
        <v>18</v>
      </c>
      <c r="U28" s="3">
        <v>19</v>
      </c>
      <c r="V28" s="4">
        <v>20</v>
      </c>
      <c r="W28" s="86">
        <v>21</v>
      </c>
      <c r="X28" s="3">
        <v>22</v>
      </c>
    </row>
    <row r="29" spans="2:24" x14ac:dyDescent="0.2">
      <c r="B29" s="90"/>
      <c r="C29" s="110"/>
      <c r="D29" s="113"/>
      <c r="E29" s="103"/>
      <c r="F29" s="103"/>
      <c r="G29" s="103"/>
      <c r="H29" s="42"/>
      <c r="I29" s="105"/>
      <c r="J29" s="105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104">
        <f>+V29/0.13</f>
        <v>0</v>
      </c>
      <c r="V29" s="93"/>
      <c r="W29" s="42"/>
      <c r="X29" s="42"/>
    </row>
    <row r="30" spans="2:24" x14ac:dyDescent="0.2">
      <c r="B30" s="90"/>
      <c r="C30" s="111"/>
      <c r="D30" s="113"/>
      <c r="E30" s="99"/>
      <c r="F30" s="103"/>
      <c r="G30" s="108"/>
      <c r="H30" s="42"/>
      <c r="I30" s="114"/>
      <c r="J30" s="114"/>
      <c r="K30" s="115"/>
      <c r="L30" s="105"/>
      <c r="M30" s="105"/>
      <c r="N30" s="105"/>
      <c r="O30" s="105"/>
      <c r="P30" s="105"/>
      <c r="Q30" s="105"/>
      <c r="R30" s="105"/>
      <c r="S30" s="105"/>
      <c r="T30" s="105"/>
      <c r="U30" s="104">
        <f t="shared" ref="U30:U45" si="0">+V30/0.13</f>
        <v>0</v>
      </c>
      <c r="V30" s="93"/>
      <c r="W30" s="116"/>
      <c r="X30" s="116"/>
    </row>
    <row r="31" spans="2:24" x14ac:dyDescent="0.2">
      <c r="B31" s="109"/>
      <c r="C31" s="111"/>
      <c r="D31" s="112"/>
      <c r="E31" s="99"/>
      <c r="F31" s="103"/>
      <c r="G31" s="99"/>
      <c r="H31" s="42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4">
        <f t="shared" si="0"/>
        <v>0</v>
      </c>
      <c r="V31" s="93"/>
      <c r="W31" s="42"/>
      <c r="X31" s="42"/>
    </row>
    <row r="32" spans="2:24" x14ac:dyDescent="0.2">
      <c r="B32" s="90"/>
      <c r="C32" s="111"/>
      <c r="D32" s="112"/>
      <c r="E32" s="99"/>
      <c r="F32" s="103"/>
      <c r="G32" s="99"/>
      <c r="H32" s="42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4">
        <f t="shared" si="0"/>
        <v>0</v>
      </c>
      <c r="V32" s="163"/>
      <c r="W32" s="42"/>
      <c r="X32" s="42"/>
    </row>
    <row r="33" spans="2:26" x14ac:dyDescent="0.2">
      <c r="B33" s="109"/>
      <c r="C33" s="136"/>
      <c r="D33" s="112"/>
      <c r="E33" s="99"/>
      <c r="F33" s="103"/>
      <c r="G33" s="138"/>
      <c r="H33" s="116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04">
        <f t="shared" si="0"/>
        <v>0</v>
      </c>
      <c r="V33" s="163"/>
      <c r="W33" s="116"/>
      <c r="X33" s="116"/>
    </row>
    <row r="34" spans="2:26" x14ac:dyDescent="0.2">
      <c r="B34" s="90"/>
      <c r="C34" s="136"/>
      <c r="D34" s="112"/>
      <c r="E34" s="99"/>
      <c r="F34" s="103"/>
      <c r="G34" s="138"/>
      <c r="H34" s="116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04">
        <f t="shared" si="0"/>
        <v>0</v>
      </c>
      <c r="V34" s="163"/>
      <c r="W34" s="116"/>
      <c r="X34" s="116"/>
    </row>
    <row r="35" spans="2:26" x14ac:dyDescent="0.2">
      <c r="B35" s="109"/>
      <c r="C35" s="136"/>
      <c r="D35" s="112"/>
      <c r="E35" s="99"/>
      <c r="F35" s="103"/>
      <c r="G35" s="138"/>
      <c r="H35" s="116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04">
        <f t="shared" si="0"/>
        <v>0</v>
      </c>
      <c r="V35" s="163"/>
      <c r="W35" s="116"/>
      <c r="X35" s="116"/>
    </row>
    <row r="36" spans="2:26" ht="12.75" customHeight="1" x14ac:dyDescent="0.2">
      <c r="B36" s="90"/>
      <c r="C36" s="136"/>
      <c r="D36" s="112"/>
      <c r="E36" s="99"/>
      <c r="F36" s="103"/>
      <c r="G36" s="138"/>
      <c r="H36" s="116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04">
        <f t="shared" si="0"/>
        <v>0</v>
      </c>
      <c r="V36" s="163"/>
      <c r="W36" s="116"/>
      <c r="X36" s="116"/>
      <c r="Y36">
        <v>7.524</v>
      </c>
      <c r="Z36">
        <v>18</v>
      </c>
    </row>
    <row r="37" spans="2:26" x14ac:dyDescent="0.2">
      <c r="B37" s="109"/>
      <c r="C37" s="136"/>
      <c r="D37" s="112"/>
      <c r="E37" s="99"/>
      <c r="F37" s="103"/>
      <c r="G37" s="138"/>
      <c r="H37" s="116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04">
        <f t="shared" si="0"/>
        <v>0</v>
      </c>
      <c r="V37" s="163"/>
      <c r="W37" s="116"/>
      <c r="X37" s="116"/>
    </row>
    <row r="38" spans="2:26" x14ac:dyDescent="0.2">
      <c r="B38" s="109"/>
      <c r="C38" s="136"/>
      <c r="D38" s="112"/>
      <c r="E38" s="99"/>
      <c r="F38" s="138"/>
      <c r="G38" s="138"/>
      <c r="H38" s="116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04">
        <f t="shared" si="0"/>
        <v>0</v>
      </c>
      <c r="V38" s="163"/>
      <c r="W38" s="116"/>
      <c r="X38" s="116"/>
      <c r="Y38">
        <v>7.5149999999999997</v>
      </c>
      <c r="Z38">
        <v>20</v>
      </c>
    </row>
    <row r="39" spans="2:26" x14ac:dyDescent="0.2">
      <c r="B39" s="135"/>
      <c r="C39" s="136"/>
      <c r="D39" s="137"/>
      <c r="E39" s="138"/>
      <c r="F39" s="138"/>
      <c r="G39" s="138"/>
      <c r="H39" s="116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04">
        <f t="shared" si="0"/>
        <v>0</v>
      </c>
      <c r="V39" s="168"/>
      <c r="W39" s="116"/>
      <c r="X39" s="116"/>
    </row>
    <row r="40" spans="2:26" x14ac:dyDescent="0.2">
      <c r="B40" s="135"/>
      <c r="C40" s="136"/>
      <c r="D40" s="137"/>
      <c r="E40" s="138"/>
      <c r="F40" s="138"/>
      <c r="G40" s="138"/>
      <c r="H40" s="116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04">
        <f t="shared" si="0"/>
        <v>0</v>
      </c>
      <c r="V40" s="168"/>
      <c r="W40" s="116"/>
      <c r="X40" s="116"/>
      <c r="Y40">
        <v>7.53</v>
      </c>
      <c r="Z40">
        <v>27</v>
      </c>
    </row>
    <row r="41" spans="2:26" x14ac:dyDescent="0.2">
      <c r="B41" s="135"/>
      <c r="C41" s="136"/>
      <c r="D41" s="137"/>
      <c r="E41" s="138"/>
      <c r="F41" s="138"/>
      <c r="G41" s="138"/>
      <c r="H41" s="116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04">
        <f t="shared" si="0"/>
        <v>0</v>
      </c>
      <c r="V41" s="168"/>
      <c r="W41" s="116"/>
      <c r="X41" s="116"/>
    </row>
    <row r="42" spans="2:26" x14ac:dyDescent="0.2">
      <c r="B42" s="135"/>
      <c r="C42" s="136"/>
      <c r="D42" s="137"/>
      <c r="E42" s="138"/>
      <c r="F42" s="138"/>
      <c r="G42" s="138"/>
      <c r="H42" s="116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04">
        <f t="shared" si="0"/>
        <v>0</v>
      </c>
      <c r="V42" s="168"/>
      <c r="W42" s="116"/>
      <c r="X42" s="116"/>
      <c r="Y42">
        <v>7.5289999999999999</v>
      </c>
      <c r="Z42">
        <v>27</v>
      </c>
    </row>
    <row r="43" spans="2:26" x14ac:dyDescent="0.2">
      <c r="B43" s="135"/>
      <c r="C43" s="136"/>
      <c r="D43" s="137"/>
      <c r="E43" s="138"/>
      <c r="F43" s="138"/>
      <c r="G43" s="138"/>
      <c r="H43" s="116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04">
        <f>+V43/0.13</f>
        <v>0</v>
      </c>
      <c r="V43" s="168"/>
      <c r="W43" s="116"/>
      <c r="X43" s="116"/>
    </row>
    <row r="44" spans="2:26" x14ac:dyDescent="0.2">
      <c r="B44" s="135"/>
      <c r="C44" s="136"/>
      <c r="D44" s="137"/>
      <c r="E44" s="138"/>
      <c r="F44" s="138"/>
      <c r="G44" s="138"/>
      <c r="H44" s="116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04">
        <f t="shared" si="0"/>
        <v>0</v>
      </c>
      <c r="V44" s="168"/>
      <c r="W44" s="116"/>
      <c r="X44" s="116"/>
    </row>
    <row r="45" spans="2:26" ht="13.5" thickBot="1" x14ac:dyDescent="0.25">
      <c r="B45" s="135"/>
      <c r="C45" s="136"/>
      <c r="D45" s="137"/>
      <c r="E45" s="138"/>
      <c r="F45" s="138"/>
      <c r="G45" s="138"/>
      <c r="H45" s="116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04">
        <f t="shared" si="0"/>
        <v>0</v>
      </c>
      <c r="V45" s="168"/>
      <c r="W45" s="116"/>
      <c r="X45" s="116"/>
    </row>
    <row r="46" spans="2:26" x14ac:dyDescent="0.2">
      <c r="B46" s="162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6" x14ac:dyDescent="0.2">
      <c r="B47" s="7" t="s">
        <v>578</v>
      </c>
      <c r="C47" s="7"/>
      <c r="D47" s="7"/>
      <c r="E47" s="7"/>
      <c r="F47" s="7"/>
      <c r="G47" s="160"/>
      <c r="H47" s="107">
        <f>SUM(H29:H44)</f>
        <v>0</v>
      </c>
      <c r="I47" s="160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107">
        <f>SUM(U29:U44)</f>
        <v>0</v>
      </c>
      <c r="V47" s="107">
        <f>SUM(V29:V44)</f>
        <v>0</v>
      </c>
      <c r="W47" s="107">
        <f>SUM(W29:W44)</f>
        <v>0</v>
      </c>
      <c r="X47" s="107">
        <f>SUM(X29:X44)</f>
        <v>0</v>
      </c>
    </row>
    <row r="48" spans="2:26" x14ac:dyDescent="0.2">
      <c r="G48" s="88"/>
      <c r="H48" s="88"/>
      <c r="I48" s="88"/>
      <c r="X48" s="88"/>
    </row>
    <row r="49" spans="7:24" x14ac:dyDescent="0.2">
      <c r="X49" s="88"/>
    </row>
    <row r="50" spans="7:24" x14ac:dyDescent="0.2">
      <c r="X50" s="88"/>
    </row>
    <row r="51" spans="7:24" x14ac:dyDescent="0.2">
      <c r="X51" s="88"/>
    </row>
    <row r="52" spans="7:24" x14ac:dyDescent="0.2">
      <c r="G52" s="124"/>
      <c r="X52" s="88"/>
    </row>
    <row r="53" spans="7:24" x14ac:dyDescent="0.2">
      <c r="X53" s="88"/>
    </row>
    <row r="54" spans="7:24" x14ac:dyDescent="0.2">
      <c r="Q54" s="39"/>
      <c r="S54" s="39"/>
      <c r="X54" s="88"/>
    </row>
    <row r="55" spans="7:24" x14ac:dyDescent="0.2">
      <c r="Q55" s="35"/>
      <c r="S55" s="39"/>
      <c r="X55" s="88"/>
    </row>
    <row r="56" spans="7:24" x14ac:dyDescent="0.2">
      <c r="Q56" s="35"/>
      <c r="X56" s="88"/>
    </row>
    <row r="57" spans="7:24" x14ac:dyDescent="0.2">
      <c r="X57" s="88"/>
    </row>
    <row r="58" spans="7:24" x14ac:dyDescent="0.2">
      <c r="X58" s="88"/>
    </row>
    <row r="59" spans="7:24" x14ac:dyDescent="0.2">
      <c r="X59" s="88"/>
    </row>
    <row r="60" spans="7:24" x14ac:dyDescent="0.2">
      <c r="X60" s="88"/>
    </row>
    <row r="61" spans="7:24" x14ac:dyDescent="0.2">
      <c r="X61" s="88"/>
    </row>
    <row r="62" spans="7:24" x14ac:dyDescent="0.2">
      <c r="X62" s="88"/>
    </row>
    <row r="63" spans="7:24" x14ac:dyDescent="0.2">
      <c r="X63" s="88"/>
    </row>
    <row r="64" spans="7:24" x14ac:dyDescent="0.2">
      <c r="X64" s="88"/>
    </row>
    <row r="65" spans="24:24" x14ac:dyDescent="0.2">
      <c r="X65" s="88"/>
    </row>
    <row r="66" spans="24:24" x14ac:dyDescent="0.2">
      <c r="X66" s="88"/>
    </row>
    <row r="67" spans="24:24" x14ac:dyDescent="0.2">
      <c r="X67" s="88"/>
    </row>
    <row r="68" spans="24:24" x14ac:dyDescent="0.2">
      <c r="X68" s="88"/>
    </row>
    <row r="69" spans="24:24" x14ac:dyDescent="0.2">
      <c r="X69" s="88"/>
    </row>
    <row r="70" spans="24:24" x14ac:dyDescent="0.2">
      <c r="X70" s="88"/>
    </row>
    <row r="71" spans="24:24" x14ac:dyDescent="0.2">
      <c r="X71" s="88"/>
    </row>
    <row r="72" spans="24:24" x14ac:dyDescent="0.2">
      <c r="X72" s="88"/>
    </row>
    <row r="73" spans="24:24" x14ac:dyDescent="0.2">
      <c r="X73" s="88"/>
    </row>
    <row r="74" spans="24:24" x14ac:dyDescent="0.2">
      <c r="X74" s="88"/>
    </row>
    <row r="75" spans="24:24" x14ac:dyDescent="0.2">
      <c r="X75" s="88"/>
    </row>
    <row r="76" spans="24:24" x14ac:dyDescent="0.2">
      <c r="X76" s="88"/>
    </row>
    <row r="77" spans="24:24" x14ac:dyDescent="0.2">
      <c r="X77" s="88"/>
    </row>
    <row r="78" spans="24:24" x14ac:dyDescent="0.2">
      <c r="X78" s="88"/>
    </row>
    <row r="79" spans="24:24" x14ac:dyDescent="0.2">
      <c r="X79" s="88"/>
    </row>
    <row r="80" spans="24:24" x14ac:dyDescent="0.2">
      <c r="X80" s="88"/>
    </row>
    <row r="81" spans="24:24" x14ac:dyDescent="0.2">
      <c r="X81" s="88"/>
    </row>
    <row r="82" spans="24:24" x14ac:dyDescent="0.2">
      <c r="X82" s="88"/>
    </row>
    <row r="83" spans="24:24" x14ac:dyDescent="0.2">
      <c r="X83" s="88"/>
    </row>
    <row r="84" spans="24:24" x14ac:dyDescent="0.2">
      <c r="X84" s="88"/>
    </row>
    <row r="85" spans="24:24" x14ac:dyDescent="0.2">
      <c r="X85" s="88"/>
    </row>
    <row r="86" spans="24:24" x14ac:dyDescent="0.2">
      <c r="X86" s="88"/>
    </row>
    <row r="87" spans="24:24" x14ac:dyDescent="0.2">
      <c r="X87" s="88"/>
    </row>
    <row r="88" spans="24:24" x14ac:dyDescent="0.2">
      <c r="X88" s="88"/>
    </row>
    <row r="89" spans="24:24" x14ac:dyDescent="0.2">
      <c r="X89" s="88"/>
    </row>
    <row r="90" spans="24:24" x14ac:dyDescent="0.2">
      <c r="X90" s="88"/>
    </row>
    <row r="91" spans="24:24" x14ac:dyDescent="0.2">
      <c r="X91" s="88"/>
    </row>
    <row r="92" spans="24:24" x14ac:dyDescent="0.2">
      <c r="X92" s="88"/>
    </row>
    <row r="93" spans="24:24" x14ac:dyDescent="0.2">
      <c r="X93" s="88"/>
    </row>
    <row r="94" spans="24:24" x14ac:dyDescent="0.2">
      <c r="X94" s="88"/>
    </row>
    <row r="95" spans="24:24" x14ac:dyDescent="0.2">
      <c r="X95" s="88"/>
    </row>
    <row r="96" spans="24:24" x14ac:dyDescent="0.2">
      <c r="X96" s="88"/>
    </row>
    <row r="97" spans="24:24" x14ac:dyDescent="0.2">
      <c r="X97" s="88"/>
    </row>
    <row r="98" spans="24:24" x14ac:dyDescent="0.2">
      <c r="X98" s="88"/>
    </row>
    <row r="99" spans="24:24" x14ac:dyDescent="0.2">
      <c r="X99" s="88"/>
    </row>
    <row r="100" spans="24:24" x14ac:dyDescent="0.2">
      <c r="X100" s="88"/>
    </row>
    <row r="101" spans="24:24" x14ac:dyDescent="0.2">
      <c r="X101" s="88"/>
    </row>
    <row r="102" spans="24:24" x14ac:dyDescent="0.2">
      <c r="X102" s="88"/>
    </row>
    <row r="103" spans="24:24" x14ac:dyDescent="0.2">
      <c r="X103" s="88"/>
    </row>
    <row r="104" spans="24:24" x14ac:dyDescent="0.2">
      <c r="X104" s="88"/>
    </row>
    <row r="105" spans="24:24" x14ac:dyDescent="0.2">
      <c r="X105" s="88"/>
    </row>
    <row r="106" spans="24:24" x14ac:dyDescent="0.2">
      <c r="X106" s="88"/>
    </row>
    <row r="107" spans="24:24" x14ac:dyDescent="0.2">
      <c r="X107" s="88"/>
    </row>
    <row r="108" spans="24:24" x14ac:dyDescent="0.2">
      <c r="X108" s="88"/>
    </row>
    <row r="109" spans="24:24" x14ac:dyDescent="0.2">
      <c r="X109" s="88"/>
    </row>
    <row r="110" spans="24:24" x14ac:dyDescent="0.2">
      <c r="X110" s="88"/>
    </row>
    <row r="111" spans="24:24" x14ac:dyDescent="0.2">
      <c r="X111" s="88"/>
    </row>
    <row r="112" spans="24:24" x14ac:dyDescent="0.2">
      <c r="X112" s="88"/>
    </row>
    <row r="113" spans="24:24" x14ac:dyDescent="0.2">
      <c r="X113" s="88"/>
    </row>
    <row r="114" spans="24:24" x14ac:dyDescent="0.2">
      <c r="X114" s="88"/>
    </row>
    <row r="115" spans="24:24" x14ac:dyDescent="0.2">
      <c r="X115" s="88"/>
    </row>
    <row r="116" spans="24:24" x14ac:dyDescent="0.2">
      <c r="X116" s="88"/>
    </row>
    <row r="117" spans="24:24" x14ac:dyDescent="0.2">
      <c r="X117" s="88"/>
    </row>
    <row r="118" spans="24:24" x14ac:dyDescent="0.2">
      <c r="X118" s="88"/>
    </row>
    <row r="119" spans="24:24" x14ac:dyDescent="0.2">
      <c r="X119" s="88"/>
    </row>
    <row r="120" spans="24:24" x14ac:dyDescent="0.2">
      <c r="X120" s="88"/>
    </row>
    <row r="121" spans="24:24" x14ac:dyDescent="0.2">
      <c r="X121" s="88"/>
    </row>
    <row r="122" spans="24:24" x14ac:dyDescent="0.2">
      <c r="X122" s="88"/>
    </row>
    <row r="123" spans="24:24" x14ac:dyDescent="0.2">
      <c r="X123" s="88"/>
    </row>
    <row r="124" spans="24:24" x14ac:dyDescent="0.2">
      <c r="X124" s="88"/>
    </row>
    <row r="125" spans="24:24" x14ac:dyDescent="0.2">
      <c r="X125" s="88"/>
    </row>
    <row r="126" spans="24:24" x14ac:dyDescent="0.2">
      <c r="X126" s="88"/>
    </row>
    <row r="127" spans="24:24" x14ac:dyDescent="0.2">
      <c r="X127" s="88"/>
    </row>
    <row r="128" spans="24:24" x14ac:dyDescent="0.2">
      <c r="X128" s="88"/>
    </row>
    <row r="129" spans="24:24" x14ac:dyDescent="0.2">
      <c r="X129" s="88"/>
    </row>
    <row r="130" spans="24:24" x14ac:dyDescent="0.2">
      <c r="X130" s="88"/>
    </row>
    <row r="131" spans="24:24" x14ac:dyDescent="0.2">
      <c r="X131" s="88"/>
    </row>
    <row r="132" spans="24:24" x14ac:dyDescent="0.2">
      <c r="X132" s="88"/>
    </row>
    <row r="133" spans="24:24" x14ac:dyDescent="0.2">
      <c r="X133" s="88"/>
    </row>
    <row r="134" spans="24:24" x14ac:dyDescent="0.2">
      <c r="X134" s="88"/>
    </row>
    <row r="135" spans="24:24" x14ac:dyDescent="0.2">
      <c r="X135" s="88"/>
    </row>
    <row r="136" spans="24:24" x14ac:dyDescent="0.2">
      <c r="X136" s="88"/>
    </row>
    <row r="137" spans="24:24" x14ac:dyDescent="0.2">
      <c r="X137" s="88"/>
    </row>
    <row r="138" spans="24:24" x14ac:dyDescent="0.2">
      <c r="X138" s="88"/>
    </row>
    <row r="139" spans="24:24" x14ac:dyDescent="0.2">
      <c r="X139" s="88"/>
    </row>
    <row r="140" spans="24:24" x14ac:dyDescent="0.2">
      <c r="X140" s="88"/>
    </row>
    <row r="141" spans="24:24" x14ac:dyDescent="0.2">
      <c r="X141" s="88"/>
    </row>
    <row r="142" spans="24:24" x14ac:dyDescent="0.2">
      <c r="X142" s="88"/>
    </row>
    <row r="143" spans="24:24" x14ac:dyDescent="0.2">
      <c r="X143" s="88"/>
    </row>
    <row r="144" spans="24:24" x14ac:dyDescent="0.2">
      <c r="X144" s="88"/>
    </row>
    <row r="145" spans="24:24" x14ac:dyDescent="0.2">
      <c r="X145" s="88"/>
    </row>
    <row r="146" spans="24:24" x14ac:dyDescent="0.2">
      <c r="X146" s="88"/>
    </row>
    <row r="147" spans="24:24" x14ac:dyDescent="0.2">
      <c r="X147" s="88"/>
    </row>
    <row r="148" spans="24:24" x14ac:dyDescent="0.2">
      <c r="X148" s="88"/>
    </row>
    <row r="149" spans="24:24" x14ac:dyDescent="0.2">
      <c r="X149" s="88"/>
    </row>
    <row r="150" spans="24:24" x14ac:dyDescent="0.2">
      <c r="X150" s="88"/>
    </row>
    <row r="151" spans="24:24" x14ac:dyDescent="0.2">
      <c r="X151" s="88"/>
    </row>
    <row r="152" spans="24:24" x14ac:dyDescent="0.2">
      <c r="X152" s="88"/>
    </row>
    <row r="153" spans="24:24" x14ac:dyDescent="0.2">
      <c r="X153" s="88"/>
    </row>
    <row r="154" spans="24:24" x14ac:dyDescent="0.2">
      <c r="X154" s="88"/>
    </row>
    <row r="155" spans="24:24" x14ac:dyDescent="0.2">
      <c r="X155" s="88"/>
    </row>
    <row r="156" spans="24:24" x14ac:dyDescent="0.2">
      <c r="X156" s="88"/>
    </row>
    <row r="157" spans="24:24" x14ac:dyDescent="0.2">
      <c r="X157" s="88"/>
    </row>
    <row r="158" spans="24:24" x14ac:dyDescent="0.2">
      <c r="X158" s="88"/>
    </row>
    <row r="159" spans="24:24" x14ac:dyDescent="0.2">
      <c r="X159" s="88"/>
    </row>
    <row r="160" spans="24:24" x14ac:dyDescent="0.2">
      <c r="X160" s="88"/>
    </row>
    <row r="161" spans="24:24" x14ac:dyDescent="0.2">
      <c r="X161" s="88"/>
    </row>
    <row r="162" spans="24:24" x14ac:dyDescent="0.2">
      <c r="X162" s="88"/>
    </row>
    <row r="163" spans="24:24" x14ac:dyDescent="0.2">
      <c r="X163" s="88"/>
    </row>
    <row r="164" spans="24:24" x14ac:dyDescent="0.2">
      <c r="X164" s="88"/>
    </row>
    <row r="165" spans="24:24" x14ac:dyDescent="0.2">
      <c r="X165" s="88"/>
    </row>
    <row r="166" spans="24:24" x14ac:dyDescent="0.2">
      <c r="X166" s="88"/>
    </row>
    <row r="167" spans="24:24" x14ac:dyDescent="0.2">
      <c r="X167" s="88"/>
    </row>
    <row r="168" spans="24:24" x14ac:dyDescent="0.2">
      <c r="X168" s="88"/>
    </row>
    <row r="169" spans="24:24" x14ac:dyDescent="0.2">
      <c r="X169" s="88"/>
    </row>
    <row r="170" spans="24:24" x14ac:dyDescent="0.2">
      <c r="X170" s="88"/>
    </row>
    <row r="171" spans="24:24" x14ac:dyDescent="0.2">
      <c r="X171" s="88"/>
    </row>
    <row r="172" spans="24:24" x14ac:dyDescent="0.2">
      <c r="X172" s="88"/>
    </row>
    <row r="173" spans="24:24" x14ac:dyDescent="0.2">
      <c r="X173" s="88"/>
    </row>
    <row r="174" spans="24:24" x14ac:dyDescent="0.2">
      <c r="X174" s="88"/>
    </row>
    <row r="175" spans="24:24" x14ac:dyDescent="0.2">
      <c r="X175" s="88"/>
    </row>
    <row r="176" spans="24:24" x14ac:dyDescent="0.2">
      <c r="X176" s="88"/>
    </row>
    <row r="177" spans="24:24" x14ac:dyDescent="0.2">
      <c r="X177" s="88"/>
    </row>
    <row r="178" spans="24:24" x14ac:dyDescent="0.2">
      <c r="X178" s="88"/>
    </row>
    <row r="179" spans="24:24" x14ac:dyDescent="0.2">
      <c r="X179" s="88"/>
    </row>
    <row r="180" spans="24:24" x14ac:dyDescent="0.2">
      <c r="X180" s="88"/>
    </row>
    <row r="181" spans="24:24" x14ac:dyDescent="0.2">
      <c r="X181" s="88"/>
    </row>
    <row r="182" spans="24:24" x14ac:dyDescent="0.2">
      <c r="X182" s="88"/>
    </row>
    <row r="183" spans="24:24" x14ac:dyDescent="0.2">
      <c r="X183" s="88"/>
    </row>
    <row r="184" spans="24:24" x14ac:dyDescent="0.2">
      <c r="X184" s="88"/>
    </row>
    <row r="185" spans="24:24" x14ac:dyDescent="0.2">
      <c r="X185" s="88"/>
    </row>
    <row r="186" spans="24:24" x14ac:dyDescent="0.2">
      <c r="X186" s="88"/>
    </row>
    <row r="187" spans="24:24" x14ac:dyDescent="0.2">
      <c r="X187" s="88"/>
    </row>
    <row r="188" spans="24:24" x14ac:dyDescent="0.2">
      <c r="X188" s="88"/>
    </row>
    <row r="189" spans="24:24" x14ac:dyDescent="0.2">
      <c r="X189" s="88"/>
    </row>
    <row r="190" spans="24:24" x14ac:dyDescent="0.2">
      <c r="X190" s="88"/>
    </row>
    <row r="191" spans="24:24" x14ac:dyDescent="0.2">
      <c r="X191" s="88"/>
    </row>
    <row r="192" spans="24:24" x14ac:dyDescent="0.2">
      <c r="X192" s="88"/>
    </row>
    <row r="193" spans="24:24" x14ac:dyDescent="0.2">
      <c r="X193" s="88"/>
    </row>
    <row r="194" spans="24:24" x14ac:dyDescent="0.2">
      <c r="X194" s="88"/>
    </row>
    <row r="195" spans="24:24" x14ac:dyDescent="0.2">
      <c r="X195" s="88"/>
    </row>
    <row r="196" spans="24:24" x14ac:dyDescent="0.2">
      <c r="X196" s="88"/>
    </row>
    <row r="197" spans="24:24" x14ac:dyDescent="0.2">
      <c r="X197" s="88"/>
    </row>
    <row r="198" spans="24:24" x14ac:dyDescent="0.2">
      <c r="X198" s="88"/>
    </row>
    <row r="199" spans="24:24" x14ac:dyDescent="0.2">
      <c r="X199" s="88"/>
    </row>
    <row r="200" spans="24:24" x14ac:dyDescent="0.2">
      <c r="X200" s="88"/>
    </row>
    <row r="201" spans="24:24" x14ac:dyDescent="0.2">
      <c r="X201" s="88"/>
    </row>
    <row r="202" spans="24:24" x14ac:dyDescent="0.2">
      <c r="X202" s="88"/>
    </row>
    <row r="203" spans="24:24" x14ac:dyDescent="0.2">
      <c r="X203" s="88"/>
    </row>
    <row r="204" spans="24:24" x14ac:dyDescent="0.2">
      <c r="X204" s="88"/>
    </row>
    <row r="205" spans="24:24" x14ac:dyDescent="0.2">
      <c r="X205" s="88"/>
    </row>
    <row r="206" spans="24:24" x14ac:dyDescent="0.2">
      <c r="X206" s="88"/>
    </row>
    <row r="207" spans="24:24" x14ac:dyDescent="0.2">
      <c r="X207" s="88"/>
    </row>
    <row r="208" spans="24:24" x14ac:dyDescent="0.2">
      <c r="X208" s="88"/>
    </row>
    <row r="209" spans="24:24" x14ac:dyDescent="0.2">
      <c r="X209" s="88"/>
    </row>
    <row r="210" spans="24:24" x14ac:dyDescent="0.2">
      <c r="X210" s="88"/>
    </row>
    <row r="211" spans="24:24" x14ac:dyDescent="0.2">
      <c r="X211" s="88"/>
    </row>
    <row r="212" spans="24:24" x14ac:dyDescent="0.2">
      <c r="X212" s="88"/>
    </row>
    <row r="213" spans="24:24" x14ac:dyDescent="0.2">
      <c r="X213" s="88"/>
    </row>
    <row r="214" spans="24:24" x14ac:dyDescent="0.2">
      <c r="X214" s="88"/>
    </row>
    <row r="215" spans="24:24" x14ac:dyDescent="0.2">
      <c r="X215" s="88"/>
    </row>
    <row r="216" spans="24:24" x14ac:dyDescent="0.2">
      <c r="X216" s="88"/>
    </row>
    <row r="217" spans="24:24" x14ac:dyDescent="0.2">
      <c r="X217" s="88"/>
    </row>
    <row r="218" spans="24:24" x14ac:dyDescent="0.2">
      <c r="X218" s="88"/>
    </row>
    <row r="219" spans="24:24" x14ac:dyDescent="0.2">
      <c r="X219" s="88"/>
    </row>
    <row r="220" spans="24:24" x14ac:dyDescent="0.2">
      <c r="X220" s="88"/>
    </row>
    <row r="221" spans="24:24" x14ac:dyDescent="0.2">
      <c r="X221" s="88"/>
    </row>
    <row r="222" spans="24:24" x14ac:dyDescent="0.2">
      <c r="X222" s="88"/>
    </row>
    <row r="223" spans="24:24" x14ac:dyDescent="0.2">
      <c r="X223" s="88"/>
    </row>
    <row r="224" spans="24:24" x14ac:dyDescent="0.2">
      <c r="X224" s="88"/>
    </row>
    <row r="225" spans="24:24" x14ac:dyDescent="0.2">
      <c r="X225" s="88"/>
    </row>
    <row r="226" spans="24:24" x14ac:dyDescent="0.2">
      <c r="X226" s="88"/>
    </row>
    <row r="227" spans="24:24" x14ac:dyDescent="0.2">
      <c r="X227" s="88"/>
    </row>
    <row r="228" spans="24:24" x14ac:dyDescent="0.2">
      <c r="X228" s="88"/>
    </row>
    <row r="229" spans="24:24" x14ac:dyDescent="0.2">
      <c r="X229" s="88"/>
    </row>
    <row r="230" spans="24:24" x14ac:dyDescent="0.2">
      <c r="X230" s="88"/>
    </row>
    <row r="231" spans="24:24" x14ac:dyDescent="0.2">
      <c r="X231" s="88"/>
    </row>
    <row r="232" spans="24:24" x14ac:dyDescent="0.2">
      <c r="X232" s="88"/>
    </row>
    <row r="233" spans="24:24" x14ac:dyDescent="0.2">
      <c r="X233" s="88"/>
    </row>
    <row r="234" spans="24:24" x14ac:dyDescent="0.2">
      <c r="X234" s="88"/>
    </row>
    <row r="235" spans="24:24" x14ac:dyDescent="0.2">
      <c r="X235" s="88"/>
    </row>
    <row r="236" spans="24:24" x14ac:dyDescent="0.2">
      <c r="X236" s="88"/>
    </row>
    <row r="237" spans="24:24" x14ac:dyDescent="0.2">
      <c r="X237" s="88"/>
    </row>
    <row r="238" spans="24:24" x14ac:dyDescent="0.2">
      <c r="X238" s="88"/>
    </row>
    <row r="239" spans="24:24" x14ac:dyDescent="0.2">
      <c r="X239" s="88"/>
    </row>
    <row r="240" spans="24:24" x14ac:dyDescent="0.2">
      <c r="X240" s="88"/>
    </row>
    <row r="241" spans="24:24" x14ac:dyDescent="0.2">
      <c r="X241" s="88"/>
    </row>
    <row r="242" spans="24:24" x14ac:dyDescent="0.2">
      <c r="X242" s="88"/>
    </row>
    <row r="243" spans="24:24" x14ac:dyDescent="0.2">
      <c r="X243" s="88"/>
    </row>
    <row r="244" spans="24:24" x14ac:dyDescent="0.2">
      <c r="X244" s="88"/>
    </row>
    <row r="245" spans="24:24" x14ac:dyDescent="0.2">
      <c r="X245" s="88"/>
    </row>
    <row r="246" spans="24:24" x14ac:dyDescent="0.2">
      <c r="X246" s="88"/>
    </row>
    <row r="247" spans="24:24" x14ac:dyDescent="0.2">
      <c r="X247" s="88"/>
    </row>
    <row r="248" spans="24:24" x14ac:dyDescent="0.2">
      <c r="X248" s="88"/>
    </row>
    <row r="249" spans="24:24" x14ac:dyDescent="0.2">
      <c r="X249" s="88"/>
    </row>
    <row r="250" spans="24:24" x14ac:dyDescent="0.2">
      <c r="X250" s="88"/>
    </row>
    <row r="251" spans="24:24" x14ac:dyDescent="0.2">
      <c r="X251" s="88"/>
    </row>
    <row r="252" spans="24:24" x14ac:dyDescent="0.2">
      <c r="X252" s="88"/>
    </row>
    <row r="253" spans="24:24" x14ac:dyDescent="0.2">
      <c r="X253" s="88"/>
    </row>
    <row r="254" spans="24:24" x14ac:dyDescent="0.2">
      <c r="X254" s="88"/>
    </row>
    <row r="255" spans="24:24" x14ac:dyDescent="0.2">
      <c r="X255" s="88"/>
    </row>
    <row r="256" spans="24:24" x14ac:dyDescent="0.2">
      <c r="X256" s="88"/>
    </row>
    <row r="257" spans="24:24" x14ac:dyDescent="0.2">
      <c r="X257" s="88"/>
    </row>
    <row r="258" spans="24:24" x14ac:dyDescent="0.2">
      <c r="X258" s="88"/>
    </row>
    <row r="259" spans="24:24" x14ac:dyDescent="0.2">
      <c r="X259" s="88"/>
    </row>
    <row r="260" spans="24:24" x14ac:dyDescent="0.2">
      <c r="X260" s="88"/>
    </row>
    <row r="261" spans="24:24" x14ac:dyDescent="0.2">
      <c r="X261" s="88"/>
    </row>
    <row r="262" spans="24:24" x14ac:dyDescent="0.2">
      <c r="X262" s="88"/>
    </row>
    <row r="263" spans="24:24" x14ac:dyDescent="0.2">
      <c r="X263" s="88"/>
    </row>
    <row r="264" spans="24:24" x14ac:dyDescent="0.2">
      <c r="X264" s="88"/>
    </row>
    <row r="265" spans="24:24" x14ac:dyDescent="0.2">
      <c r="X265" s="88"/>
    </row>
    <row r="266" spans="24:24" x14ac:dyDescent="0.2">
      <c r="X266" s="88"/>
    </row>
    <row r="267" spans="24:24" x14ac:dyDescent="0.2">
      <c r="X267" s="88"/>
    </row>
    <row r="268" spans="24:24" x14ac:dyDescent="0.2">
      <c r="X268" s="88"/>
    </row>
    <row r="269" spans="24:24" x14ac:dyDescent="0.2">
      <c r="X269" s="88"/>
    </row>
    <row r="270" spans="24:24" x14ac:dyDescent="0.2">
      <c r="X270" s="88"/>
    </row>
    <row r="271" spans="24:24" x14ac:dyDescent="0.2">
      <c r="X271" s="88"/>
    </row>
    <row r="272" spans="24:24" x14ac:dyDescent="0.2">
      <c r="X272" s="88"/>
    </row>
    <row r="273" spans="24:24" x14ac:dyDescent="0.2">
      <c r="X273" s="88"/>
    </row>
    <row r="274" spans="24:24" x14ac:dyDescent="0.2">
      <c r="X274" s="88"/>
    </row>
    <row r="275" spans="24:24" x14ac:dyDescent="0.2">
      <c r="X275" s="88"/>
    </row>
    <row r="276" spans="24:24" x14ac:dyDescent="0.2">
      <c r="X276" s="88"/>
    </row>
    <row r="277" spans="24:24" x14ac:dyDescent="0.2">
      <c r="X277" s="88"/>
    </row>
    <row r="278" spans="24:24" x14ac:dyDescent="0.2">
      <c r="X278" s="88"/>
    </row>
    <row r="279" spans="24:24" x14ac:dyDescent="0.2">
      <c r="X279" s="88"/>
    </row>
    <row r="280" spans="24:24" x14ac:dyDescent="0.2">
      <c r="X280" s="88"/>
    </row>
    <row r="281" spans="24:24" x14ac:dyDescent="0.2">
      <c r="X281" s="88"/>
    </row>
    <row r="282" spans="24:24" x14ac:dyDescent="0.2">
      <c r="X282" s="88"/>
    </row>
    <row r="283" spans="24:24" x14ac:dyDescent="0.2">
      <c r="X283" s="88"/>
    </row>
    <row r="284" spans="24:24" x14ac:dyDescent="0.2">
      <c r="X284" s="88"/>
    </row>
    <row r="285" spans="24:24" x14ac:dyDescent="0.2">
      <c r="X285" s="88"/>
    </row>
    <row r="286" spans="24:24" x14ac:dyDescent="0.2">
      <c r="X286" s="88"/>
    </row>
    <row r="287" spans="24:24" x14ac:dyDescent="0.2">
      <c r="X287" s="88"/>
    </row>
    <row r="288" spans="24:24" x14ac:dyDescent="0.2">
      <c r="X288" s="88"/>
    </row>
    <row r="289" spans="24:24" x14ac:dyDescent="0.2">
      <c r="X289" s="88"/>
    </row>
    <row r="290" spans="24:24" x14ac:dyDescent="0.2">
      <c r="X290" s="88"/>
    </row>
    <row r="291" spans="24:24" x14ac:dyDescent="0.2">
      <c r="X291" s="88"/>
    </row>
    <row r="292" spans="24:24" x14ac:dyDescent="0.2">
      <c r="X292" s="88"/>
    </row>
    <row r="293" spans="24:24" x14ac:dyDescent="0.2">
      <c r="X293" s="88"/>
    </row>
    <row r="294" spans="24:24" x14ac:dyDescent="0.2">
      <c r="X294" s="88"/>
    </row>
    <row r="295" spans="24:24" x14ac:dyDescent="0.2">
      <c r="X295" s="88"/>
    </row>
    <row r="296" spans="24:24" x14ac:dyDescent="0.2">
      <c r="X296" s="88"/>
    </row>
    <row r="297" spans="24:24" x14ac:dyDescent="0.2">
      <c r="X297" s="88"/>
    </row>
    <row r="298" spans="24:24" x14ac:dyDescent="0.2">
      <c r="X298" s="88"/>
    </row>
    <row r="299" spans="24:24" x14ac:dyDescent="0.2">
      <c r="X299" s="88"/>
    </row>
    <row r="300" spans="24:24" x14ac:dyDescent="0.2">
      <c r="X300" s="88"/>
    </row>
    <row r="301" spans="24:24" x14ac:dyDescent="0.2">
      <c r="X301" s="88"/>
    </row>
    <row r="302" spans="24:24" x14ac:dyDescent="0.2">
      <c r="X302" s="88"/>
    </row>
    <row r="303" spans="24:24" x14ac:dyDescent="0.2">
      <c r="X303" s="88"/>
    </row>
    <row r="304" spans="24:24" x14ac:dyDescent="0.2">
      <c r="X304" s="88"/>
    </row>
    <row r="305" spans="24:24" x14ac:dyDescent="0.2">
      <c r="X305" s="88"/>
    </row>
    <row r="306" spans="24:24" x14ac:dyDescent="0.2">
      <c r="X306" s="88"/>
    </row>
    <row r="307" spans="24:24" x14ac:dyDescent="0.2">
      <c r="X307" s="88"/>
    </row>
    <row r="308" spans="24:24" x14ac:dyDescent="0.2">
      <c r="X308" s="88"/>
    </row>
    <row r="309" spans="24:24" x14ac:dyDescent="0.2">
      <c r="X309" s="88"/>
    </row>
    <row r="310" spans="24:24" x14ac:dyDescent="0.2">
      <c r="X310" s="88"/>
    </row>
    <row r="311" spans="24:24" x14ac:dyDescent="0.2">
      <c r="X311" s="88"/>
    </row>
    <row r="312" spans="24:24" x14ac:dyDescent="0.2">
      <c r="X312" s="88"/>
    </row>
    <row r="313" spans="24:24" x14ac:dyDescent="0.2">
      <c r="X313" s="88"/>
    </row>
    <row r="314" spans="24:24" x14ac:dyDescent="0.2">
      <c r="X314" s="88"/>
    </row>
    <row r="315" spans="24:24" x14ac:dyDescent="0.2">
      <c r="X315" s="88"/>
    </row>
    <row r="316" spans="24:24" x14ac:dyDescent="0.2">
      <c r="X316" s="88"/>
    </row>
    <row r="317" spans="24:24" x14ac:dyDescent="0.2">
      <c r="X317" s="88"/>
    </row>
    <row r="318" spans="24:24" x14ac:dyDescent="0.2">
      <c r="X318" s="88"/>
    </row>
    <row r="319" spans="24:24" x14ac:dyDescent="0.2">
      <c r="X319" s="88"/>
    </row>
    <row r="320" spans="24:24" x14ac:dyDescent="0.2">
      <c r="X320" s="88"/>
    </row>
    <row r="321" spans="24:24" x14ac:dyDescent="0.2">
      <c r="X321" s="88"/>
    </row>
    <row r="322" spans="24:24" x14ac:dyDescent="0.2">
      <c r="X322" s="88"/>
    </row>
    <row r="323" spans="24:24" x14ac:dyDescent="0.2">
      <c r="X323" s="88"/>
    </row>
    <row r="324" spans="24:24" x14ac:dyDescent="0.2">
      <c r="X324" s="88"/>
    </row>
    <row r="325" spans="24:24" x14ac:dyDescent="0.2">
      <c r="X325" s="88"/>
    </row>
    <row r="326" spans="24:24" x14ac:dyDescent="0.2">
      <c r="X326" s="88"/>
    </row>
    <row r="327" spans="24:24" x14ac:dyDescent="0.2">
      <c r="X327" s="88"/>
    </row>
    <row r="328" spans="24:24" x14ac:dyDescent="0.2">
      <c r="X328" s="88"/>
    </row>
    <row r="329" spans="24:24" x14ac:dyDescent="0.2">
      <c r="X329" s="88"/>
    </row>
    <row r="330" spans="24:24" x14ac:dyDescent="0.2">
      <c r="X330" s="88"/>
    </row>
    <row r="331" spans="24:24" x14ac:dyDescent="0.2">
      <c r="X331" s="88"/>
    </row>
    <row r="332" spans="24:24" x14ac:dyDescent="0.2">
      <c r="X332" s="88"/>
    </row>
    <row r="333" spans="24:24" x14ac:dyDescent="0.2">
      <c r="X333" s="88"/>
    </row>
    <row r="334" spans="24:24" x14ac:dyDescent="0.2">
      <c r="X334" s="88"/>
    </row>
    <row r="335" spans="24:24" x14ac:dyDescent="0.2">
      <c r="X335" s="88"/>
    </row>
    <row r="336" spans="24:24" x14ac:dyDescent="0.2">
      <c r="X336" s="88"/>
    </row>
    <row r="337" spans="24:24" x14ac:dyDescent="0.2">
      <c r="X337" s="88"/>
    </row>
    <row r="338" spans="24:24" x14ac:dyDescent="0.2">
      <c r="X338" s="88"/>
    </row>
    <row r="339" spans="24:24" x14ac:dyDescent="0.2">
      <c r="X339" s="88"/>
    </row>
    <row r="340" spans="24:24" x14ac:dyDescent="0.2">
      <c r="X340" s="88"/>
    </row>
    <row r="341" spans="24:24" x14ac:dyDescent="0.2">
      <c r="X341" s="88"/>
    </row>
    <row r="342" spans="24:24" x14ac:dyDescent="0.2">
      <c r="X342" s="88"/>
    </row>
    <row r="343" spans="24:24" x14ac:dyDescent="0.2">
      <c r="X343" s="88"/>
    </row>
    <row r="344" spans="24:24" x14ac:dyDescent="0.2">
      <c r="X344" s="88"/>
    </row>
    <row r="345" spans="24:24" x14ac:dyDescent="0.2">
      <c r="X345" s="88"/>
    </row>
    <row r="346" spans="24:24" x14ac:dyDescent="0.2">
      <c r="X346" s="88"/>
    </row>
    <row r="347" spans="24:24" x14ac:dyDescent="0.2">
      <c r="X347" s="88"/>
    </row>
    <row r="348" spans="24:24" x14ac:dyDescent="0.2">
      <c r="X348" s="88"/>
    </row>
    <row r="349" spans="24:24" x14ac:dyDescent="0.2">
      <c r="X349" s="88"/>
    </row>
    <row r="350" spans="24:24" x14ac:dyDescent="0.2">
      <c r="X350" s="88"/>
    </row>
    <row r="351" spans="24:24" x14ac:dyDescent="0.2">
      <c r="X351" s="88"/>
    </row>
    <row r="352" spans="24:24" x14ac:dyDescent="0.2">
      <c r="X352" s="88"/>
    </row>
    <row r="353" spans="24:24" x14ac:dyDescent="0.2">
      <c r="X353" s="88"/>
    </row>
    <row r="354" spans="24:24" x14ac:dyDescent="0.2">
      <c r="X354" s="88"/>
    </row>
    <row r="355" spans="24:24" x14ac:dyDescent="0.2">
      <c r="X355" s="88"/>
    </row>
    <row r="356" spans="24:24" x14ac:dyDescent="0.2">
      <c r="X356" s="88"/>
    </row>
    <row r="357" spans="24:24" x14ac:dyDescent="0.2">
      <c r="X357" s="88"/>
    </row>
    <row r="358" spans="24:24" x14ac:dyDescent="0.2">
      <c r="X358" s="88"/>
    </row>
    <row r="359" spans="24:24" x14ac:dyDescent="0.2">
      <c r="X359" s="88"/>
    </row>
    <row r="360" spans="24:24" x14ac:dyDescent="0.2">
      <c r="X360" s="88"/>
    </row>
    <row r="361" spans="24:24" x14ac:dyDescent="0.2">
      <c r="X361" s="88"/>
    </row>
    <row r="362" spans="24:24" x14ac:dyDescent="0.2">
      <c r="X362" s="88"/>
    </row>
    <row r="363" spans="24:24" x14ac:dyDescent="0.2">
      <c r="X363" s="88"/>
    </row>
    <row r="364" spans="24:24" x14ac:dyDescent="0.2">
      <c r="X364" s="88"/>
    </row>
    <row r="365" spans="24:24" x14ac:dyDescent="0.2">
      <c r="X365" s="88"/>
    </row>
    <row r="366" spans="24:24" x14ac:dyDescent="0.2">
      <c r="X366" s="88"/>
    </row>
    <row r="367" spans="24:24" x14ac:dyDescent="0.2">
      <c r="X367" s="88"/>
    </row>
    <row r="368" spans="24:24" x14ac:dyDescent="0.2">
      <c r="X368" s="88"/>
    </row>
    <row r="369" spans="24:24" x14ac:dyDescent="0.2">
      <c r="X369" s="88"/>
    </row>
    <row r="370" spans="24:24" x14ac:dyDescent="0.2">
      <c r="X370" s="88"/>
    </row>
    <row r="371" spans="24:24" x14ac:dyDescent="0.2">
      <c r="X371" s="88"/>
    </row>
    <row r="372" spans="24:24" x14ac:dyDescent="0.2">
      <c r="X372" s="88"/>
    </row>
    <row r="373" spans="24:24" x14ac:dyDescent="0.2">
      <c r="X373" s="88"/>
    </row>
    <row r="374" spans="24:24" x14ac:dyDescent="0.2">
      <c r="X374" s="88"/>
    </row>
    <row r="375" spans="24:24" x14ac:dyDescent="0.2">
      <c r="X375" s="88"/>
    </row>
    <row r="376" spans="24:24" x14ac:dyDescent="0.2">
      <c r="X376" s="88"/>
    </row>
    <row r="377" spans="24:24" x14ac:dyDescent="0.2">
      <c r="X377" s="88"/>
    </row>
    <row r="378" spans="24:24" x14ac:dyDescent="0.2">
      <c r="X378" s="88"/>
    </row>
    <row r="379" spans="24:24" x14ac:dyDescent="0.2">
      <c r="X379" s="88"/>
    </row>
    <row r="380" spans="24:24" x14ac:dyDescent="0.2">
      <c r="X380" s="88"/>
    </row>
    <row r="381" spans="24:24" x14ac:dyDescent="0.2">
      <c r="X381" s="88"/>
    </row>
    <row r="382" spans="24:24" x14ac:dyDescent="0.2">
      <c r="X382" s="88"/>
    </row>
    <row r="383" spans="24:24" x14ac:dyDescent="0.2">
      <c r="X383" s="88"/>
    </row>
    <row r="384" spans="24:24" x14ac:dyDescent="0.2">
      <c r="X384" s="88"/>
    </row>
    <row r="385" spans="24:24" x14ac:dyDescent="0.2">
      <c r="X385" s="88"/>
    </row>
    <row r="386" spans="24:24" x14ac:dyDescent="0.2">
      <c r="X386" s="88"/>
    </row>
    <row r="387" spans="24:24" x14ac:dyDescent="0.2">
      <c r="X387" s="88"/>
    </row>
    <row r="388" spans="24:24" x14ac:dyDescent="0.2">
      <c r="X388" s="88"/>
    </row>
    <row r="389" spans="24:24" x14ac:dyDescent="0.2">
      <c r="X389" s="88"/>
    </row>
    <row r="390" spans="24:24" x14ac:dyDescent="0.2">
      <c r="X390" s="88"/>
    </row>
    <row r="391" spans="24:24" x14ac:dyDescent="0.2">
      <c r="X391" s="88"/>
    </row>
    <row r="392" spans="24:24" x14ac:dyDescent="0.2">
      <c r="X392" s="88"/>
    </row>
    <row r="393" spans="24:24" x14ac:dyDescent="0.2">
      <c r="X393" s="88"/>
    </row>
    <row r="394" spans="24:24" x14ac:dyDescent="0.2">
      <c r="X394" s="88"/>
    </row>
    <row r="395" spans="24:24" x14ac:dyDescent="0.2">
      <c r="X395" s="88"/>
    </row>
    <row r="396" spans="24:24" x14ac:dyDescent="0.2">
      <c r="X396" s="88"/>
    </row>
    <row r="397" spans="24:24" x14ac:dyDescent="0.2">
      <c r="X397" s="88"/>
    </row>
    <row r="398" spans="24:24" x14ac:dyDescent="0.2">
      <c r="X398" s="88"/>
    </row>
    <row r="399" spans="24:24" x14ac:dyDescent="0.2">
      <c r="X399" s="88"/>
    </row>
    <row r="400" spans="24:24" x14ac:dyDescent="0.2">
      <c r="X400" s="88"/>
    </row>
    <row r="401" spans="24:24" x14ac:dyDescent="0.2">
      <c r="X401" s="88"/>
    </row>
    <row r="402" spans="24:24" x14ac:dyDescent="0.2">
      <c r="X402" s="88"/>
    </row>
    <row r="403" spans="24:24" x14ac:dyDescent="0.2">
      <c r="X403" s="88"/>
    </row>
    <row r="404" spans="24:24" x14ac:dyDescent="0.2">
      <c r="X404" s="88"/>
    </row>
    <row r="405" spans="24:24" x14ac:dyDescent="0.2">
      <c r="X405" s="88"/>
    </row>
    <row r="406" spans="24:24" x14ac:dyDescent="0.2">
      <c r="X406" s="88"/>
    </row>
    <row r="407" spans="24:24" x14ac:dyDescent="0.2">
      <c r="X407" s="88"/>
    </row>
    <row r="408" spans="24:24" x14ac:dyDescent="0.2">
      <c r="X408" s="88"/>
    </row>
    <row r="409" spans="24:24" x14ac:dyDescent="0.2">
      <c r="X409" s="88"/>
    </row>
    <row r="410" spans="24:24" x14ac:dyDescent="0.2">
      <c r="X410" s="88"/>
    </row>
    <row r="411" spans="24:24" x14ac:dyDescent="0.2">
      <c r="X411" s="88"/>
    </row>
    <row r="412" spans="24:24" x14ac:dyDescent="0.2">
      <c r="X412" s="88"/>
    </row>
    <row r="413" spans="24:24" x14ac:dyDescent="0.2">
      <c r="X413" s="88"/>
    </row>
    <row r="414" spans="24:24" x14ac:dyDescent="0.2">
      <c r="X414" s="88"/>
    </row>
    <row r="415" spans="24:24" x14ac:dyDescent="0.2">
      <c r="X415" s="88"/>
    </row>
    <row r="416" spans="24:24" x14ac:dyDescent="0.2">
      <c r="X416" s="88"/>
    </row>
    <row r="417" spans="24:24" x14ac:dyDescent="0.2">
      <c r="X417" s="88"/>
    </row>
    <row r="418" spans="24:24" x14ac:dyDescent="0.2">
      <c r="X418" s="88"/>
    </row>
    <row r="419" spans="24:24" x14ac:dyDescent="0.2">
      <c r="X419" s="88"/>
    </row>
    <row r="420" spans="24:24" x14ac:dyDescent="0.2">
      <c r="X420" s="88"/>
    </row>
    <row r="421" spans="24:24" x14ac:dyDescent="0.2">
      <c r="X421" s="88"/>
    </row>
    <row r="422" spans="24:24" x14ac:dyDescent="0.2">
      <c r="X422" s="88"/>
    </row>
    <row r="423" spans="24:24" x14ac:dyDescent="0.2">
      <c r="X423" s="88"/>
    </row>
    <row r="424" spans="24:24" x14ac:dyDescent="0.2">
      <c r="X424" s="88"/>
    </row>
    <row r="425" spans="24:24" x14ac:dyDescent="0.2">
      <c r="X425" s="88"/>
    </row>
    <row r="426" spans="24:24" x14ac:dyDescent="0.2">
      <c r="X426" s="88"/>
    </row>
    <row r="427" spans="24:24" x14ac:dyDescent="0.2">
      <c r="X427" s="88"/>
    </row>
    <row r="428" spans="24:24" x14ac:dyDescent="0.2">
      <c r="X428" s="88"/>
    </row>
    <row r="429" spans="24:24" x14ac:dyDescent="0.2">
      <c r="X429" s="88"/>
    </row>
    <row r="430" spans="24:24" x14ac:dyDescent="0.2">
      <c r="X430" s="88"/>
    </row>
    <row r="431" spans="24:24" x14ac:dyDescent="0.2">
      <c r="X431" s="88"/>
    </row>
    <row r="432" spans="24:24" x14ac:dyDescent="0.2">
      <c r="X432" s="88"/>
    </row>
    <row r="433" spans="24:24" x14ac:dyDescent="0.2">
      <c r="X433" s="88"/>
    </row>
    <row r="434" spans="24:24" x14ac:dyDescent="0.2">
      <c r="X434" s="88"/>
    </row>
    <row r="435" spans="24:24" x14ac:dyDescent="0.2">
      <c r="X435" s="88"/>
    </row>
    <row r="436" spans="24:24" x14ac:dyDescent="0.2">
      <c r="X436" s="88"/>
    </row>
    <row r="437" spans="24:24" x14ac:dyDescent="0.2">
      <c r="X437" s="88"/>
    </row>
    <row r="438" spans="24:24" x14ac:dyDescent="0.2">
      <c r="X438" s="88"/>
    </row>
    <row r="439" spans="24:24" x14ac:dyDescent="0.2">
      <c r="X439" s="88"/>
    </row>
    <row r="440" spans="24:24" x14ac:dyDescent="0.2">
      <c r="X440" s="88"/>
    </row>
    <row r="441" spans="24:24" x14ac:dyDescent="0.2">
      <c r="X441" s="88"/>
    </row>
    <row r="442" spans="24:24" x14ac:dyDescent="0.2">
      <c r="X442" s="88"/>
    </row>
    <row r="443" spans="24:24" x14ac:dyDescent="0.2">
      <c r="X443" s="88"/>
    </row>
    <row r="444" spans="24:24" x14ac:dyDescent="0.2">
      <c r="X444" s="88"/>
    </row>
    <row r="445" spans="24:24" x14ac:dyDescent="0.2">
      <c r="X445" s="88"/>
    </row>
    <row r="446" spans="24:24" x14ac:dyDescent="0.2">
      <c r="X446" s="88"/>
    </row>
    <row r="447" spans="24:24" x14ac:dyDescent="0.2">
      <c r="X447" s="88"/>
    </row>
    <row r="448" spans="24:24" x14ac:dyDescent="0.2">
      <c r="X448" s="88"/>
    </row>
    <row r="449" spans="24:24" x14ac:dyDescent="0.2">
      <c r="X449" s="88"/>
    </row>
    <row r="450" spans="24:24" x14ac:dyDescent="0.2">
      <c r="X450" s="88"/>
    </row>
    <row r="451" spans="24:24" x14ac:dyDescent="0.2">
      <c r="X451" s="88"/>
    </row>
    <row r="452" spans="24:24" x14ac:dyDescent="0.2">
      <c r="X452" s="88"/>
    </row>
    <row r="453" spans="24:24" x14ac:dyDescent="0.2">
      <c r="X453" s="88"/>
    </row>
    <row r="454" spans="24:24" x14ac:dyDescent="0.2">
      <c r="X454" s="88"/>
    </row>
    <row r="455" spans="24:24" x14ac:dyDescent="0.2">
      <c r="X455" s="88"/>
    </row>
    <row r="456" spans="24:24" x14ac:dyDescent="0.2">
      <c r="X456" s="88"/>
    </row>
    <row r="457" spans="24:24" x14ac:dyDescent="0.2">
      <c r="X457" s="88"/>
    </row>
    <row r="458" spans="24:24" x14ac:dyDescent="0.2">
      <c r="X458" s="88"/>
    </row>
    <row r="459" spans="24:24" x14ac:dyDescent="0.2">
      <c r="X459" s="88"/>
    </row>
    <row r="460" spans="24:24" x14ac:dyDescent="0.2">
      <c r="X460" s="88"/>
    </row>
    <row r="461" spans="24:24" x14ac:dyDescent="0.2">
      <c r="X461" s="88"/>
    </row>
    <row r="462" spans="24:24" x14ac:dyDescent="0.2">
      <c r="X462" s="88"/>
    </row>
    <row r="463" spans="24:24" x14ac:dyDescent="0.2">
      <c r="X463" s="88"/>
    </row>
    <row r="464" spans="24:24" x14ac:dyDescent="0.2">
      <c r="X464" s="88"/>
    </row>
    <row r="465" spans="24:24" x14ac:dyDescent="0.2">
      <c r="X465" s="88"/>
    </row>
    <row r="466" spans="24:24" x14ac:dyDescent="0.2">
      <c r="X466" s="88"/>
    </row>
    <row r="467" spans="24:24" x14ac:dyDescent="0.2">
      <c r="X467" s="88"/>
    </row>
    <row r="468" spans="24:24" x14ac:dyDescent="0.2">
      <c r="X468" s="88"/>
    </row>
    <row r="469" spans="24:24" x14ac:dyDescent="0.2">
      <c r="X469" s="88"/>
    </row>
    <row r="470" spans="24:24" x14ac:dyDescent="0.2">
      <c r="X470" s="88"/>
    </row>
    <row r="471" spans="24:24" x14ac:dyDescent="0.2">
      <c r="X471" s="88"/>
    </row>
    <row r="472" spans="24:24" x14ac:dyDescent="0.2">
      <c r="X472" s="88"/>
    </row>
    <row r="473" spans="24:24" x14ac:dyDescent="0.2">
      <c r="X473" s="88"/>
    </row>
    <row r="474" spans="24:24" x14ac:dyDescent="0.2">
      <c r="X474" s="88"/>
    </row>
    <row r="475" spans="24:24" x14ac:dyDescent="0.2">
      <c r="X475" s="88"/>
    </row>
    <row r="476" spans="24:24" x14ac:dyDescent="0.2">
      <c r="X476" s="88"/>
    </row>
    <row r="477" spans="24:24" x14ac:dyDescent="0.2">
      <c r="X477" s="88"/>
    </row>
    <row r="478" spans="24:24" x14ac:dyDescent="0.2">
      <c r="X478" s="88"/>
    </row>
    <row r="479" spans="24:24" x14ac:dyDescent="0.2">
      <c r="X479" s="88"/>
    </row>
    <row r="480" spans="24:24" x14ac:dyDescent="0.2">
      <c r="X480" s="88"/>
    </row>
    <row r="481" spans="24:24" x14ac:dyDescent="0.2">
      <c r="X481" s="88"/>
    </row>
    <row r="482" spans="24:24" x14ac:dyDescent="0.2">
      <c r="X482" s="88"/>
    </row>
    <row r="483" spans="24:24" x14ac:dyDescent="0.2">
      <c r="X483" s="88"/>
    </row>
    <row r="484" spans="24:24" x14ac:dyDescent="0.2">
      <c r="X484" s="88"/>
    </row>
    <row r="485" spans="24:24" x14ac:dyDescent="0.2">
      <c r="X485" s="88"/>
    </row>
    <row r="486" spans="24:24" x14ac:dyDescent="0.2">
      <c r="X486" s="88"/>
    </row>
    <row r="487" spans="24:24" x14ac:dyDescent="0.2">
      <c r="X487" s="88"/>
    </row>
    <row r="488" spans="24:24" x14ac:dyDescent="0.2">
      <c r="X488" s="88"/>
    </row>
    <row r="489" spans="24:24" x14ac:dyDescent="0.2">
      <c r="X489" s="88"/>
    </row>
    <row r="490" spans="24:24" x14ac:dyDescent="0.2">
      <c r="X490" s="88"/>
    </row>
    <row r="491" spans="24:24" x14ac:dyDescent="0.2">
      <c r="X491" s="88"/>
    </row>
    <row r="492" spans="24:24" x14ac:dyDescent="0.2">
      <c r="X492" s="88"/>
    </row>
    <row r="493" spans="24:24" x14ac:dyDescent="0.2">
      <c r="X493" s="88"/>
    </row>
    <row r="494" spans="24:24" x14ac:dyDescent="0.2">
      <c r="X494" s="88"/>
    </row>
    <row r="495" spans="24:24" x14ac:dyDescent="0.2">
      <c r="X495" s="88"/>
    </row>
    <row r="496" spans="24:24" x14ac:dyDescent="0.2">
      <c r="X496" s="88"/>
    </row>
    <row r="497" spans="24:24" x14ac:dyDescent="0.2">
      <c r="X497" s="88"/>
    </row>
    <row r="498" spans="24:24" x14ac:dyDescent="0.2">
      <c r="X498" s="88"/>
    </row>
    <row r="499" spans="24:24" x14ac:dyDescent="0.2">
      <c r="X499" s="88"/>
    </row>
    <row r="500" spans="24:24" x14ac:dyDescent="0.2">
      <c r="X500" s="88"/>
    </row>
    <row r="501" spans="24:24" x14ac:dyDescent="0.2">
      <c r="X501" s="88"/>
    </row>
    <row r="502" spans="24:24" x14ac:dyDescent="0.2">
      <c r="X502" s="88"/>
    </row>
    <row r="503" spans="24:24" x14ac:dyDescent="0.2">
      <c r="X503" s="88"/>
    </row>
    <row r="504" spans="24:24" x14ac:dyDescent="0.2">
      <c r="X504" s="88"/>
    </row>
    <row r="505" spans="24:24" x14ac:dyDescent="0.2">
      <c r="X505" s="88"/>
    </row>
    <row r="506" spans="24:24" x14ac:dyDescent="0.2">
      <c r="X506" s="88"/>
    </row>
    <row r="507" spans="24:24" x14ac:dyDescent="0.2">
      <c r="X507" s="88"/>
    </row>
    <row r="508" spans="24:24" x14ac:dyDescent="0.2">
      <c r="X508" s="88"/>
    </row>
    <row r="509" spans="24:24" x14ac:dyDescent="0.2">
      <c r="X509" s="88"/>
    </row>
    <row r="510" spans="24:24" x14ac:dyDescent="0.2">
      <c r="X510" s="88"/>
    </row>
    <row r="511" spans="24:24" x14ac:dyDescent="0.2">
      <c r="X511" s="88"/>
    </row>
    <row r="512" spans="24:24" x14ac:dyDescent="0.2">
      <c r="X512" s="88"/>
    </row>
    <row r="513" spans="24:24" x14ac:dyDescent="0.2">
      <c r="X513" s="88"/>
    </row>
    <row r="514" spans="24:24" x14ac:dyDescent="0.2">
      <c r="X514" s="88"/>
    </row>
    <row r="515" spans="24:24" x14ac:dyDescent="0.2">
      <c r="X515" s="88"/>
    </row>
    <row r="516" spans="24:24" x14ac:dyDescent="0.2">
      <c r="X516" s="88"/>
    </row>
    <row r="517" spans="24:24" x14ac:dyDescent="0.2">
      <c r="X517" s="88"/>
    </row>
    <row r="518" spans="24:24" x14ac:dyDescent="0.2">
      <c r="X518" s="88"/>
    </row>
    <row r="519" spans="24:24" x14ac:dyDescent="0.2">
      <c r="X519" s="88"/>
    </row>
    <row r="520" spans="24:24" x14ac:dyDescent="0.2">
      <c r="X520" s="88"/>
    </row>
    <row r="521" spans="24:24" x14ac:dyDescent="0.2">
      <c r="X521" s="88"/>
    </row>
    <row r="522" spans="24:24" x14ac:dyDescent="0.2">
      <c r="X522" s="88"/>
    </row>
    <row r="523" spans="24:24" x14ac:dyDescent="0.2">
      <c r="X523" s="88"/>
    </row>
    <row r="524" spans="24:24" x14ac:dyDescent="0.2">
      <c r="X524" s="88"/>
    </row>
    <row r="525" spans="24:24" x14ac:dyDescent="0.2">
      <c r="X525" s="88"/>
    </row>
    <row r="526" spans="24:24" x14ac:dyDescent="0.2">
      <c r="X526" s="88"/>
    </row>
    <row r="527" spans="24:24" x14ac:dyDescent="0.2">
      <c r="X527" s="88"/>
    </row>
    <row r="528" spans="24:24" x14ac:dyDescent="0.2">
      <c r="X528" s="88"/>
    </row>
    <row r="529" spans="24:24" x14ac:dyDescent="0.2">
      <c r="X529" s="88"/>
    </row>
    <row r="530" spans="24:24" x14ac:dyDescent="0.2">
      <c r="X530" s="88"/>
    </row>
    <row r="531" spans="24:24" x14ac:dyDescent="0.2">
      <c r="X531" s="88"/>
    </row>
    <row r="532" spans="24:24" x14ac:dyDescent="0.2">
      <c r="X532" s="88"/>
    </row>
    <row r="533" spans="24:24" x14ac:dyDescent="0.2">
      <c r="X533" s="88"/>
    </row>
    <row r="534" spans="24:24" x14ac:dyDescent="0.2">
      <c r="X534" s="88"/>
    </row>
    <row r="535" spans="24:24" x14ac:dyDescent="0.2">
      <c r="X535" s="88"/>
    </row>
    <row r="536" spans="24:24" x14ac:dyDescent="0.2">
      <c r="X536" s="88"/>
    </row>
    <row r="537" spans="24:24" x14ac:dyDescent="0.2">
      <c r="X537" s="88"/>
    </row>
    <row r="538" spans="24:24" x14ac:dyDescent="0.2">
      <c r="X538" s="88"/>
    </row>
    <row r="539" spans="24:24" x14ac:dyDescent="0.2">
      <c r="X539" s="88"/>
    </row>
    <row r="540" spans="24:24" x14ac:dyDescent="0.2">
      <c r="X540" s="88"/>
    </row>
    <row r="541" spans="24:24" x14ac:dyDescent="0.2">
      <c r="X541" s="88"/>
    </row>
    <row r="542" spans="24:24" x14ac:dyDescent="0.2">
      <c r="X542" s="88"/>
    </row>
    <row r="543" spans="24:24" x14ac:dyDescent="0.2">
      <c r="X543" s="88"/>
    </row>
    <row r="544" spans="24:24" x14ac:dyDescent="0.2">
      <c r="X544" s="88"/>
    </row>
    <row r="545" spans="24:24" x14ac:dyDescent="0.2">
      <c r="X545" s="88"/>
    </row>
    <row r="546" spans="24:24" x14ac:dyDescent="0.2">
      <c r="X546" s="88"/>
    </row>
    <row r="547" spans="24:24" x14ac:dyDescent="0.2">
      <c r="X547" s="88"/>
    </row>
    <row r="548" spans="24:24" x14ac:dyDescent="0.2">
      <c r="X548" s="88"/>
    </row>
    <row r="549" spans="24:24" x14ac:dyDescent="0.2">
      <c r="X549" s="88"/>
    </row>
    <row r="550" spans="24:24" x14ac:dyDescent="0.2">
      <c r="X550" s="88"/>
    </row>
    <row r="551" spans="24:24" x14ac:dyDescent="0.2">
      <c r="X551" s="88"/>
    </row>
    <row r="552" spans="24:24" x14ac:dyDescent="0.2">
      <c r="X552" s="88"/>
    </row>
    <row r="553" spans="24:24" x14ac:dyDescent="0.2">
      <c r="X553" s="88"/>
    </row>
    <row r="554" spans="24:24" x14ac:dyDescent="0.2">
      <c r="X554" s="88"/>
    </row>
    <row r="555" spans="24:24" x14ac:dyDescent="0.2">
      <c r="X555" s="88"/>
    </row>
    <row r="556" spans="24:24" x14ac:dyDescent="0.2">
      <c r="X556" s="88"/>
    </row>
    <row r="557" spans="24:24" x14ac:dyDescent="0.2">
      <c r="X557" s="88"/>
    </row>
    <row r="558" spans="24:24" x14ac:dyDescent="0.2">
      <c r="X558" s="88"/>
    </row>
    <row r="559" spans="24:24" x14ac:dyDescent="0.2">
      <c r="X559" s="88"/>
    </row>
    <row r="560" spans="24:24" x14ac:dyDescent="0.2">
      <c r="X560" s="88"/>
    </row>
    <row r="561" spans="24:24" x14ac:dyDescent="0.2">
      <c r="X561" s="88"/>
    </row>
    <row r="562" spans="24:24" x14ac:dyDescent="0.2">
      <c r="X562" s="88"/>
    </row>
    <row r="563" spans="24:24" x14ac:dyDescent="0.2">
      <c r="X563" s="88"/>
    </row>
    <row r="564" spans="24:24" x14ac:dyDescent="0.2">
      <c r="X564" s="88"/>
    </row>
    <row r="565" spans="24:24" x14ac:dyDescent="0.2">
      <c r="X565" s="88"/>
    </row>
    <row r="566" spans="24:24" x14ac:dyDescent="0.2">
      <c r="X566" s="88"/>
    </row>
    <row r="567" spans="24:24" x14ac:dyDescent="0.2">
      <c r="X567" s="88"/>
    </row>
    <row r="568" spans="24:24" x14ac:dyDescent="0.2">
      <c r="X568" s="88"/>
    </row>
    <row r="569" spans="24:24" x14ac:dyDescent="0.2">
      <c r="X569" s="88"/>
    </row>
    <row r="570" spans="24:24" x14ac:dyDescent="0.2">
      <c r="X570" s="88"/>
    </row>
    <row r="571" spans="24:24" x14ac:dyDescent="0.2">
      <c r="X571" s="88"/>
    </row>
    <row r="572" spans="24:24" x14ac:dyDescent="0.2">
      <c r="X572" s="88"/>
    </row>
    <row r="573" spans="24:24" x14ac:dyDescent="0.2">
      <c r="X573" s="88"/>
    </row>
    <row r="574" spans="24:24" x14ac:dyDescent="0.2">
      <c r="X574" s="88"/>
    </row>
    <row r="575" spans="24:24" x14ac:dyDescent="0.2">
      <c r="X575" s="88"/>
    </row>
    <row r="576" spans="24:24" x14ac:dyDescent="0.2">
      <c r="X576" s="88"/>
    </row>
    <row r="577" spans="24:24" x14ac:dyDescent="0.2">
      <c r="X577" s="88"/>
    </row>
    <row r="578" spans="24:24" x14ac:dyDescent="0.2">
      <c r="X578" s="88"/>
    </row>
    <row r="579" spans="24:24" x14ac:dyDescent="0.2">
      <c r="X579" s="88"/>
    </row>
    <row r="580" spans="24:24" x14ac:dyDescent="0.2">
      <c r="X580" s="88"/>
    </row>
    <row r="581" spans="24:24" x14ac:dyDescent="0.2">
      <c r="X581" s="88"/>
    </row>
    <row r="582" spans="24:24" x14ac:dyDescent="0.2">
      <c r="X582" s="88"/>
    </row>
    <row r="583" spans="24:24" x14ac:dyDescent="0.2">
      <c r="X583" s="88"/>
    </row>
    <row r="584" spans="24:24" x14ac:dyDescent="0.2">
      <c r="X584" s="88"/>
    </row>
    <row r="585" spans="24:24" x14ac:dyDescent="0.2">
      <c r="X585" s="88"/>
    </row>
    <row r="586" spans="24:24" x14ac:dyDescent="0.2">
      <c r="X586" s="88"/>
    </row>
    <row r="587" spans="24:24" x14ac:dyDescent="0.2">
      <c r="X587" s="88"/>
    </row>
    <row r="588" spans="24:24" x14ac:dyDescent="0.2">
      <c r="X588" s="88"/>
    </row>
    <row r="589" spans="24:24" x14ac:dyDescent="0.2">
      <c r="X589" s="88"/>
    </row>
    <row r="590" spans="24:24" x14ac:dyDescent="0.2">
      <c r="X590" s="88"/>
    </row>
    <row r="591" spans="24:24" x14ac:dyDescent="0.2">
      <c r="X591" s="88"/>
    </row>
    <row r="592" spans="24:24" x14ac:dyDescent="0.2">
      <c r="X592" s="88"/>
    </row>
    <row r="593" spans="24:24" x14ac:dyDescent="0.2">
      <c r="X593" s="88"/>
    </row>
    <row r="594" spans="24:24" x14ac:dyDescent="0.2">
      <c r="X594" s="88"/>
    </row>
    <row r="595" spans="24:24" x14ac:dyDescent="0.2">
      <c r="X595" s="88"/>
    </row>
    <row r="596" spans="24:24" x14ac:dyDescent="0.2">
      <c r="X596" s="88"/>
    </row>
    <row r="597" spans="24:24" x14ac:dyDescent="0.2">
      <c r="X597" s="88"/>
    </row>
    <row r="598" spans="24:24" x14ac:dyDescent="0.2">
      <c r="X598" s="88"/>
    </row>
    <row r="599" spans="24:24" x14ac:dyDescent="0.2">
      <c r="X599" s="88"/>
    </row>
    <row r="600" spans="24:24" x14ac:dyDescent="0.2">
      <c r="X600" s="88"/>
    </row>
    <row r="601" spans="24:24" x14ac:dyDescent="0.2">
      <c r="X601" s="88"/>
    </row>
    <row r="602" spans="24:24" x14ac:dyDescent="0.2">
      <c r="X602" s="88"/>
    </row>
    <row r="603" spans="24:24" x14ac:dyDescent="0.2">
      <c r="X603" s="88"/>
    </row>
    <row r="604" spans="24:24" x14ac:dyDescent="0.2">
      <c r="X604" s="88"/>
    </row>
    <row r="605" spans="24:24" x14ac:dyDescent="0.2">
      <c r="X605" s="88"/>
    </row>
    <row r="606" spans="24:24" x14ac:dyDescent="0.2">
      <c r="X606" s="88"/>
    </row>
    <row r="607" spans="24:24" x14ac:dyDescent="0.2">
      <c r="X607" s="88"/>
    </row>
    <row r="608" spans="24:24" x14ac:dyDescent="0.2">
      <c r="X608" s="88"/>
    </row>
    <row r="609" spans="24:24" x14ac:dyDescent="0.2">
      <c r="X609" s="88"/>
    </row>
    <row r="610" spans="24:24" x14ac:dyDescent="0.2">
      <c r="X610" s="88"/>
    </row>
    <row r="611" spans="24:24" x14ac:dyDescent="0.2">
      <c r="X611" s="88"/>
    </row>
    <row r="612" spans="24:24" x14ac:dyDescent="0.2">
      <c r="X612" s="88"/>
    </row>
    <row r="613" spans="24:24" x14ac:dyDescent="0.2">
      <c r="X613" s="88"/>
    </row>
    <row r="614" spans="24:24" x14ac:dyDescent="0.2">
      <c r="X614" s="88"/>
    </row>
    <row r="615" spans="24:24" x14ac:dyDescent="0.2">
      <c r="X615" s="88"/>
    </row>
    <row r="616" spans="24:24" x14ac:dyDescent="0.2">
      <c r="X616" s="88"/>
    </row>
    <row r="617" spans="24:24" x14ac:dyDescent="0.2">
      <c r="X617" s="88"/>
    </row>
    <row r="618" spans="24:24" x14ac:dyDescent="0.2">
      <c r="X618" s="88"/>
    </row>
    <row r="619" spans="24:24" x14ac:dyDescent="0.2">
      <c r="X619" s="88"/>
    </row>
    <row r="620" spans="24:24" x14ac:dyDescent="0.2">
      <c r="X620" s="88"/>
    </row>
    <row r="621" spans="24:24" x14ac:dyDescent="0.2">
      <c r="X621" s="88"/>
    </row>
    <row r="622" spans="24:24" x14ac:dyDescent="0.2">
      <c r="X622" s="88"/>
    </row>
    <row r="623" spans="24:24" x14ac:dyDescent="0.2">
      <c r="X623" s="88"/>
    </row>
    <row r="624" spans="24:24" x14ac:dyDescent="0.2">
      <c r="X624" s="88"/>
    </row>
    <row r="625" spans="24:24" x14ac:dyDescent="0.2">
      <c r="X625" s="88"/>
    </row>
    <row r="626" spans="24:24" x14ac:dyDescent="0.2">
      <c r="X626" s="88"/>
    </row>
    <row r="627" spans="24:24" x14ac:dyDescent="0.2">
      <c r="X627" s="88"/>
    </row>
    <row r="628" spans="24:24" x14ac:dyDescent="0.2">
      <c r="X628" s="88"/>
    </row>
    <row r="629" spans="24:24" x14ac:dyDescent="0.2">
      <c r="X629" s="88"/>
    </row>
    <row r="630" spans="24:24" x14ac:dyDescent="0.2">
      <c r="X630" s="88"/>
    </row>
    <row r="631" spans="24:24" x14ac:dyDescent="0.2">
      <c r="X631" s="88"/>
    </row>
    <row r="632" spans="24:24" x14ac:dyDescent="0.2">
      <c r="X632" s="88"/>
    </row>
    <row r="633" spans="24:24" x14ac:dyDescent="0.2">
      <c r="X633" s="88"/>
    </row>
    <row r="634" spans="24:24" x14ac:dyDescent="0.2">
      <c r="X634" s="88"/>
    </row>
    <row r="635" spans="24:24" x14ac:dyDescent="0.2">
      <c r="X635" s="88"/>
    </row>
    <row r="636" spans="24:24" x14ac:dyDescent="0.2">
      <c r="X636" s="88"/>
    </row>
    <row r="637" spans="24:24" x14ac:dyDescent="0.2">
      <c r="X637" s="88"/>
    </row>
    <row r="638" spans="24:24" x14ac:dyDescent="0.2">
      <c r="X638" s="88"/>
    </row>
    <row r="639" spans="24:24" x14ac:dyDescent="0.2">
      <c r="X639" s="88"/>
    </row>
    <row r="640" spans="24:24" x14ac:dyDescent="0.2">
      <c r="X640" s="88"/>
    </row>
    <row r="641" spans="24:24" x14ac:dyDescent="0.2">
      <c r="X641" s="88"/>
    </row>
    <row r="642" spans="24:24" x14ac:dyDescent="0.2">
      <c r="X642" s="88"/>
    </row>
    <row r="643" spans="24:24" x14ac:dyDescent="0.2">
      <c r="X643" s="88"/>
    </row>
    <row r="644" spans="24:24" x14ac:dyDescent="0.2">
      <c r="X644" s="88"/>
    </row>
    <row r="645" spans="24:24" x14ac:dyDescent="0.2">
      <c r="X645" s="88"/>
    </row>
    <row r="646" spans="24:24" x14ac:dyDescent="0.2">
      <c r="X646" s="88"/>
    </row>
    <row r="647" spans="24:24" x14ac:dyDescent="0.2">
      <c r="X647" s="88"/>
    </row>
    <row r="648" spans="24:24" x14ac:dyDescent="0.2">
      <c r="X648" s="88"/>
    </row>
    <row r="649" spans="24:24" x14ac:dyDescent="0.2">
      <c r="X649" s="88"/>
    </row>
    <row r="650" spans="24:24" x14ac:dyDescent="0.2">
      <c r="X650" s="88"/>
    </row>
    <row r="651" spans="24:24" x14ac:dyDescent="0.2">
      <c r="X651" s="88"/>
    </row>
    <row r="652" spans="24:24" x14ac:dyDescent="0.2">
      <c r="X652" s="88"/>
    </row>
    <row r="653" spans="24:24" x14ac:dyDescent="0.2">
      <c r="X653" s="88"/>
    </row>
    <row r="654" spans="24:24" x14ac:dyDescent="0.2">
      <c r="X654" s="88"/>
    </row>
    <row r="655" spans="24:24" x14ac:dyDescent="0.2">
      <c r="X655" s="88"/>
    </row>
    <row r="656" spans="24:24" x14ac:dyDescent="0.2">
      <c r="X656" s="88"/>
    </row>
    <row r="657" spans="24:24" x14ac:dyDescent="0.2">
      <c r="X657" s="88"/>
    </row>
    <row r="658" spans="24:24" x14ac:dyDescent="0.2">
      <c r="X658" s="88"/>
    </row>
    <row r="659" spans="24:24" x14ac:dyDescent="0.2">
      <c r="X659" s="88"/>
    </row>
    <row r="660" spans="24:24" x14ac:dyDescent="0.2">
      <c r="X660" s="88"/>
    </row>
    <row r="661" spans="24:24" x14ac:dyDescent="0.2">
      <c r="X661" s="88"/>
    </row>
    <row r="662" spans="24:24" x14ac:dyDescent="0.2">
      <c r="X662" s="88"/>
    </row>
    <row r="663" spans="24:24" x14ac:dyDescent="0.2">
      <c r="X663" s="88"/>
    </row>
    <row r="664" spans="24:24" x14ac:dyDescent="0.2">
      <c r="X664" s="88"/>
    </row>
    <row r="665" spans="24:24" x14ac:dyDescent="0.2">
      <c r="X665" s="88"/>
    </row>
    <row r="666" spans="24:24" x14ac:dyDescent="0.2">
      <c r="X666" s="88"/>
    </row>
    <row r="667" spans="24:24" x14ac:dyDescent="0.2">
      <c r="X667" s="88"/>
    </row>
    <row r="668" spans="24:24" x14ac:dyDescent="0.2">
      <c r="X668" s="88"/>
    </row>
    <row r="669" spans="24:24" x14ac:dyDescent="0.2">
      <c r="X669" s="88"/>
    </row>
    <row r="670" spans="24:24" x14ac:dyDescent="0.2">
      <c r="X670" s="88"/>
    </row>
    <row r="671" spans="24:24" x14ac:dyDescent="0.2">
      <c r="X671" s="88"/>
    </row>
    <row r="672" spans="24:24" x14ac:dyDescent="0.2">
      <c r="X672" s="88"/>
    </row>
    <row r="673" spans="24:24" x14ac:dyDescent="0.2">
      <c r="X673" s="88"/>
    </row>
    <row r="674" spans="24:24" x14ac:dyDescent="0.2">
      <c r="X674" s="88"/>
    </row>
    <row r="675" spans="24:24" x14ac:dyDescent="0.2">
      <c r="X675" s="88"/>
    </row>
    <row r="676" spans="24:24" x14ac:dyDescent="0.2">
      <c r="X676" s="88"/>
    </row>
    <row r="677" spans="24:24" x14ac:dyDescent="0.2">
      <c r="X677" s="88"/>
    </row>
    <row r="678" spans="24:24" x14ac:dyDescent="0.2">
      <c r="X678" s="88"/>
    </row>
    <row r="679" spans="24:24" x14ac:dyDescent="0.2">
      <c r="X679" s="88"/>
    </row>
    <row r="680" spans="24:24" x14ac:dyDescent="0.2">
      <c r="X680" s="88"/>
    </row>
    <row r="681" spans="24:24" x14ac:dyDescent="0.2">
      <c r="X681" s="88"/>
    </row>
    <row r="682" spans="24:24" x14ac:dyDescent="0.2">
      <c r="X682" s="88"/>
    </row>
    <row r="683" spans="24:24" x14ac:dyDescent="0.2">
      <c r="X683" s="88"/>
    </row>
    <row r="684" spans="24:24" x14ac:dyDescent="0.2">
      <c r="X684" s="88"/>
    </row>
    <row r="685" spans="24:24" x14ac:dyDescent="0.2">
      <c r="X685" s="88"/>
    </row>
    <row r="686" spans="24:24" x14ac:dyDescent="0.2">
      <c r="X686" s="88"/>
    </row>
    <row r="687" spans="24:24" x14ac:dyDescent="0.2">
      <c r="X687" s="88"/>
    </row>
    <row r="688" spans="24:24" x14ac:dyDescent="0.2">
      <c r="X688" s="88"/>
    </row>
    <row r="689" spans="24:24" x14ac:dyDescent="0.2">
      <c r="X689" s="88"/>
    </row>
    <row r="690" spans="24:24" x14ac:dyDescent="0.2">
      <c r="X690" s="88"/>
    </row>
    <row r="691" spans="24:24" x14ac:dyDescent="0.2">
      <c r="X691" s="88"/>
    </row>
    <row r="692" spans="24:24" x14ac:dyDescent="0.2">
      <c r="X692" s="88"/>
    </row>
    <row r="693" spans="24:24" x14ac:dyDescent="0.2">
      <c r="X693" s="88"/>
    </row>
    <row r="694" spans="24:24" x14ac:dyDescent="0.2">
      <c r="X694" s="88"/>
    </row>
    <row r="695" spans="24:24" x14ac:dyDescent="0.2">
      <c r="X695" s="88"/>
    </row>
    <row r="696" spans="24:24" x14ac:dyDescent="0.2">
      <c r="X696" s="88"/>
    </row>
    <row r="697" spans="24:24" x14ac:dyDescent="0.2">
      <c r="X697" s="88"/>
    </row>
    <row r="698" spans="24:24" x14ac:dyDescent="0.2">
      <c r="X698" s="88"/>
    </row>
    <row r="699" spans="24:24" x14ac:dyDescent="0.2">
      <c r="X699" s="88"/>
    </row>
    <row r="700" spans="24:24" x14ac:dyDescent="0.2">
      <c r="X700" s="88"/>
    </row>
    <row r="701" spans="24:24" x14ac:dyDescent="0.2">
      <c r="X701" s="88"/>
    </row>
    <row r="702" spans="24:24" x14ac:dyDescent="0.2">
      <c r="X702" s="88"/>
    </row>
    <row r="703" spans="24:24" x14ac:dyDescent="0.2">
      <c r="X703" s="88"/>
    </row>
    <row r="704" spans="24:24" x14ac:dyDescent="0.2">
      <c r="X704" s="88"/>
    </row>
    <row r="705" spans="24:24" x14ac:dyDescent="0.2">
      <c r="X705" s="88"/>
    </row>
    <row r="706" spans="24:24" x14ac:dyDescent="0.2">
      <c r="X706" s="88"/>
    </row>
    <row r="707" spans="24:24" x14ac:dyDescent="0.2">
      <c r="X707" s="88"/>
    </row>
    <row r="708" spans="24:24" x14ac:dyDescent="0.2">
      <c r="X708" s="88"/>
    </row>
    <row r="709" spans="24:24" x14ac:dyDescent="0.2">
      <c r="X709" s="88"/>
    </row>
    <row r="710" spans="24:24" x14ac:dyDescent="0.2">
      <c r="X710" s="88"/>
    </row>
    <row r="711" spans="24:24" x14ac:dyDescent="0.2">
      <c r="X711" s="88"/>
    </row>
    <row r="712" spans="24:24" x14ac:dyDescent="0.2">
      <c r="X712" s="88"/>
    </row>
    <row r="713" spans="24:24" x14ac:dyDescent="0.2">
      <c r="X713" s="88"/>
    </row>
    <row r="714" spans="24:24" x14ac:dyDescent="0.2">
      <c r="X714" s="88"/>
    </row>
    <row r="715" spans="24:24" x14ac:dyDescent="0.2">
      <c r="X715" s="88"/>
    </row>
    <row r="716" spans="24:24" x14ac:dyDescent="0.2">
      <c r="X716" s="88"/>
    </row>
    <row r="717" spans="24:24" x14ac:dyDescent="0.2">
      <c r="X717" s="88"/>
    </row>
    <row r="718" spans="24:24" x14ac:dyDescent="0.2">
      <c r="X718" s="88"/>
    </row>
    <row r="719" spans="24:24" x14ac:dyDescent="0.2">
      <c r="X719" s="88"/>
    </row>
    <row r="720" spans="24:24" x14ac:dyDescent="0.2">
      <c r="X720" s="88"/>
    </row>
    <row r="721" spans="24:24" x14ac:dyDescent="0.2">
      <c r="X721" s="88"/>
    </row>
    <row r="722" spans="24:24" x14ac:dyDescent="0.2">
      <c r="X722" s="88"/>
    </row>
    <row r="723" spans="24:24" x14ac:dyDescent="0.2">
      <c r="X723" s="88"/>
    </row>
    <row r="724" spans="24:24" x14ac:dyDescent="0.2">
      <c r="X724" s="88"/>
    </row>
    <row r="725" spans="24:24" x14ac:dyDescent="0.2">
      <c r="X725" s="88"/>
    </row>
    <row r="726" spans="24:24" x14ac:dyDescent="0.2">
      <c r="X726" s="88"/>
    </row>
    <row r="727" spans="24:24" x14ac:dyDescent="0.2">
      <c r="X727" s="88"/>
    </row>
    <row r="728" spans="24:24" x14ac:dyDescent="0.2">
      <c r="X728" s="88"/>
    </row>
    <row r="729" spans="24:24" x14ac:dyDescent="0.2">
      <c r="X729" s="88"/>
    </row>
    <row r="730" spans="24:24" x14ac:dyDescent="0.2">
      <c r="X730" s="88"/>
    </row>
    <row r="731" spans="24:24" x14ac:dyDescent="0.2">
      <c r="X731" s="88"/>
    </row>
    <row r="732" spans="24:24" x14ac:dyDescent="0.2">
      <c r="X732" s="88"/>
    </row>
    <row r="733" spans="24:24" x14ac:dyDescent="0.2">
      <c r="X733" s="88"/>
    </row>
    <row r="734" spans="24:24" x14ac:dyDescent="0.2">
      <c r="X734" s="88"/>
    </row>
    <row r="735" spans="24:24" x14ac:dyDescent="0.2">
      <c r="X735" s="88"/>
    </row>
    <row r="736" spans="24:24" x14ac:dyDescent="0.2">
      <c r="X736" s="88"/>
    </row>
    <row r="737" spans="24:24" x14ac:dyDescent="0.2">
      <c r="X737" s="88"/>
    </row>
    <row r="738" spans="24:24" x14ac:dyDescent="0.2">
      <c r="X738" s="88"/>
    </row>
    <row r="739" spans="24:24" x14ac:dyDescent="0.2">
      <c r="X739" s="88"/>
    </row>
    <row r="740" spans="24:24" x14ac:dyDescent="0.2">
      <c r="X740" s="88"/>
    </row>
    <row r="741" spans="24:24" x14ac:dyDescent="0.2">
      <c r="X741" s="88"/>
    </row>
    <row r="742" spans="24:24" x14ac:dyDescent="0.2">
      <c r="X742" s="88"/>
    </row>
    <row r="743" spans="24:24" x14ac:dyDescent="0.2">
      <c r="X743" s="88"/>
    </row>
    <row r="744" spans="24:24" x14ac:dyDescent="0.2">
      <c r="X744" s="88"/>
    </row>
    <row r="745" spans="24:24" x14ac:dyDescent="0.2">
      <c r="X745" s="88"/>
    </row>
    <row r="746" spans="24:24" x14ac:dyDescent="0.2">
      <c r="X746" s="88"/>
    </row>
    <row r="747" spans="24:24" x14ac:dyDescent="0.2">
      <c r="X747" s="88"/>
    </row>
    <row r="748" spans="24:24" x14ac:dyDescent="0.2">
      <c r="X748" s="88"/>
    </row>
    <row r="749" spans="24:24" x14ac:dyDescent="0.2">
      <c r="X749" s="88"/>
    </row>
    <row r="750" spans="24:24" x14ac:dyDescent="0.2">
      <c r="X750" s="88"/>
    </row>
    <row r="751" spans="24:24" x14ac:dyDescent="0.2">
      <c r="X751" s="88"/>
    </row>
    <row r="752" spans="24:24" x14ac:dyDescent="0.2">
      <c r="X752" s="88"/>
    </row>
    <row r="753" spans="24:24" x14ac:dyDescent="0.2">
      <c r="X753" s="88"/>
    </row>
    <row r="754" spans="24:24" x14ac:dyDescent="0.2">
      <c r="X754" s="88"/>
    </row>
    <row r="755" spans="24:24" x14ac:dyDescent="0.2">
      <c r="X755" s="88"/>
    </row>
    <row r="756" spans="24:24" x14ac:dyDescent="0.2">
      <c r="X756" s="88"/>
    </row>
    <row r="757" spans="24:24" x14ac:dyDescent="0.2">
      <c r="X757" s="88"/>
    </row>
    <row r="758" spans="24:24" x14ac:dyDescent="0.2">
      <c r="X758" s="88"/>
    </row>
    <row r="759" spans="24:24" x14ac:dyDescent="0.2">
      <c r="X759" s="88"/>
    </row>
    <row r="760" spans="24:24" x14ac:dyDescent="0.2">
      <c r="X760" s="88"/>
    </row>
    <row r="761" spans="24:24" x14ac:dyDescent="0.2">
      <c r="X761" s="88"/>
    </row>
    <row r="762" spans="24:24" x14ac:dyDescent="0.2">
      <c r="X762" s="88"/>
    </row>
    <row r="763" spans="24:24" x14ac:dyDescent="0.2">
      <c r="X763" s="88"/>
    </row>
    <row r="764" spans="24:24" x14ac:dyDescent="0.2">
      <c r="X764" s="88"/>
    </row>
    <row r="765" spans="24:24" x14ac:dyDescent="0.2">
      <c r="X765" s="88"/>
    </row>
    <row r="766" spans="24:24" x14ac:dyDescent="0.2">
      <c r="X766" s="88"/>
    </row>
    <row r="767" spans="24:24" x14ac:dyDescent="0.2">
      <c r="X767" s="88"/>
    </row>
    <row r="768" spans="24:24" x14ac:dyDescent="0.2">
      <c r="X768" s="88"/>
    </row>
    <row r="769" spans="24:24" x14ac:dyDescent="0.2">
      <c r="X769" s="88"/>
    </row>
    <row r="770" spans="24:24" x14ac:dyDescent="0.2">
      <c r="X770" s="88"/>
    </row>
    <row r="771" spans="24:24" x14ac:dyDescent="0.2">
      <c r="X771" s="88"/>
    </row>
    <row r="772" spans="24:24" x14ac:dyDescent="0.2">
      <c r="X772" s="88"/>
    </row>
    <row r="773" spans="24:24" x14ac:dyDescent="0.2">
      <c r="X773" s="88"/>
    </row>
    <row r="774" spans="24:24" x14ac:dyDescent="0.2">
      <c r="X774" s="88"/>
    </row>
    <row r="775" spans="24:24" x14ac:dyDescent="0.2">
      <c r="X775" s="88"/>
    </row>
    <row r="776" spans="24:24" x14ac:dyDescent="0.2">
      <c r="X776" s="88"/>
    </row>
    <row r="777" spans="24:24" x14ac:dyDescent="0.2">
      <c r="X777" s="88"/>
    </row>
    <row r="778" spans="24:24" x14ac:dyDescent="0.2">
      <c r="X778" s="88"/>
    </row>
    <row r="779" spans="24:24" x14ac:dyDescent="0.2">
      <c r="X779" s="88"/>
    </row>
    <row r="780" spans="24:24" x14ac:dyDescent="0.2">
      <c r="X780" s="88"/>
    </row>
    <row r="781" spans="24:24" x14ac:dyDescent="0.2">
      <c r="X781" s="88"/>
    </row>
    <row r="782" spans="24:24" x14ac:dyDescent="0.2">
      <c r="X782" s="88"/>
    </row>
    <row r="783" spans="24:24" x14ac:dyDescent="0.2">
      <c r="X783" s="88"/>
    </row>
    <row r="784" spans="24:24" x14ac:dyDescent="0.2">
      <c r="X784" s="88"/>
    </row>
    <row r="785" spans="24:24" x14ac:dyDescent="0.2">
      <c r="X785" s="88"/>
    </row>
    <row r="786" spans="24:24" x14ac:dyDescent="0.2">
      <c r="X786" s="88"/>
    </row>
    <row r="787" spans="24:24" x14ac:dyDescent="0.2">
      <c r="X787" s="88"/>
    </row>
    <row r="788" spans="24:24" x14ac:dyDescent="0.2">
      <c r="X788" s="88"/>
    </row>
    <row r="789" spans="24:24" x14ac:dyDescent="0.2">
      <c r="X789" s="88"/>
    </row>
    <row r="790" spans="24:24" x14ac:dyDescent="0.2">
      <c r="X790" s="88"/>
    </row>
    <row r="791" spans="24:24" x14ac:dyDescent="0.2">
      <c r="X791" s="88"/>
    </row>
    <row r="792" spans="24:24" x14ac:dyDescent="0.2">
      <c r="X792" s="88"/>
    </row>
    <row r="793" spans="24:24" x14ac:dyDescent="0.2">
      <c r="X793" s="88"/>
    </row>
    <row r="794" spans="24:24" x14ac:dyDescent="0.2">
      <c r="X794" s="88"/>
    </row>
    <row r="795" spans="24:24" x14ac:dyDescent="0.2">
      <c r="X795" s="88"/>
    </row>
    <row r="796" spans="24:24" x14ac:dyDescent="0.2">
      <c r="X796" s="88"/>
    </row>
    <row r="797" spans="24:24" x14ac:dyDescent="0.2">
      <c r="X797" s="88"/>
    </row>
    <row r="798" spans="24:24" x14ac:dyDescent="0.2">
      <c r="X798" s="88"/>
    </row>
    <row r="799" spans="24:24" x14ac:dyDescent="0.2">
      <c r="X799" s="88"/>
    </row>
    <row r="800" spans="24:24" x14ac:dyDescent="0.2">
      <c r="X800" s="88"/>
    </row>
    <row r="801" spans="24:24" x14ac:dyDescent="0.2">
      <c r="X801" s="88"/>
    </row>
    <row r="802" spans="24:24" x14ac:dyDescent="0.2">
      <c r="X802" s="88"/>
    </row>
    <row r="803" spans="24:24" x14ac:dyDescent="0.2">
      <c r="X803" s="88"/>
    </row>
    <row r="804" spans="24:24" x14ac:dyDescent="0.2">
      <c r="X804" s="88"/>
    </row>
    <row r="805" spans="24:24" x14ac:dyDescent="0.2">
      <c r="X805" s="88"/>
    </row>
    <row r="806" spans="24:24" x14ac:dyDescent="0.2">
      <c r="X806" s="88"/>
    </row>
    <row r="807" spans="24:24" x14ac:dyDescent="0.2">
      <c r="X807" s="88"/>
    </row>
    <row r="808" spans="24:24" x14ac:dyDescent="0.2">
      <c r="X808" s="88"/>
    </row>
    <row r="809" spans="24:24" x14ac:dyDescent="0.2">
      <c r="X809" s="88"/>
    </row>
    <row r="810" spans="24:24" x14ac:dyDescent="0.2">
      <c r="X810" s="88"/>
    </row>
    <row r="811" spans="24:24" x14ac:dyDescent="0.2">
      <c r="X811" s="88"/>
    </row>
    <row r="812" spans="24:24" x14ac:dyDescent="0.2">
      <c r="X812" s="88"/>
    </row>
    <row r="813" spans="24:24" x14ac:dyDescent="0.2">
      <c r="X813" s="88"/>
    </row>
    <row r="814" spans="24:24" x14ac:dyDescent="0.2">
      <c r="X814" s="88"/>
    </row>
    <row r="815" spans="24:24" x14ac:dyDescent="0.2">
      <c r="X815" s="88"/>
    </row>
    <row r="816" spans="24:24" x14ac:dyDescent="0.2">
      <c r="X816" s="88"/>
    </row>
    <row r="817" spans="24:24" x14ac:dyDescent="0.2">
      <c r="X817" s="88"/>
    </row>
    <row r="818" spans="24:24" x14ac:dyDescent="0.2">
      <c r="X818" s="88"/>
    </row>
    <row r="819" spans="24:24" x14ac:dyDescent="0.2">
      <c r="X819" s="88"/>
    </row>
    <row r="820" spans="24:24" x14ac:dyDescent="0.2">
      <c r="X820" s="88"/>
    </row>
    <row r="821" spans="24:24" x14ac:dyDescent="0.2">
      <c r="X821" s="88"/>
    </row>
    <row r="822" spans="24:24" x14ac:dyDescent="0.2">
      <c r="X822" s="88"/>
    </row>
    <row r="823" spans="24:24" x14ac:dyDescent="0.2">
      <c r="X823" s="88"/>
    </row>
    <row r="824" spans="24:24" x14ac:dyDescent="0.2">
      <c r="X824" s="88"/>
    </row>
    <row r="825" spans="24:24" x14ac:dyDescent="0.2">
      <c r="X825" s="88"/>
    </row>
    <row r="826" spans="24:24" x14ac:dyDescent="0.2">
      <c r="X826" s="88"/>
    </row>
    <row r="827" spans="24:24" x14ac:dyDescent="0.2">
      <c r="X827" s="88"/>
    </row>
    <row r="828" spans="24:24" x14ac:dyDescent="0.2">
      <c r="X828" s="88"/>
    </row>
    <row r="829" spans="24:24" x14ac:dyDescent="0.2">
      <c r="X829" s="88"/>
    </row>
    <row r="830" spans="24:24" x14ac:dyDescent="0.2">
      <c r="X830" s="88"/>
    </row>
    <row r="831" spans="24:24" x14ac:dyDescent="0.2">
      <c r="X831" s="88"/>
    </row>
    <row r="832" spans="24:24" x14ac:dyDescent="0.2">
      <c r="X832" s="88"/>
    </row>
    <row r="833" spans="24:24" x14ac:dyDescent="0.2">
      <c r="X833" s="88"/>
    </row>
    <row r="834" spans="24:24" x14ac:dyDescent="0.2">
      <c r="X834" s="88"/>
    </row>
    <row r="835" spans="24:24" x14ac:dyDescent="0.2">
      <c r="X835" s="88"/>
    </row>
    <row r="836" spans="24:24" x14ac:dyDescent="0.2">
      <c r="X836" s="88"/>
    </row>
    <row r="837" spans="24:24" x14ac:dyDescent="0.2">
      <c r="X837" s="88"/>
    </row>
    <row r="838" spans="24:24" x14ac:dyDescent="0.2">
      <c r="X838" s="88"/>
    </row>
    <row r="839" spans="24:24" x14ac:dyDescent="0.2">
      <c r="X839" s="88"/>
    </row>
    <row r="840" spans="24:24" x14ac:dyDescent="0.2">
      <c r="X840" s="88"/>
    </row>
    <row r="841" spans="24:24" x14ac:dyDescent="0.2">
      <c r="X841" s="88"/>
    </row>
    <row r="842" spans="24:24" x14ac:dyDescent="0.2">
      <c r="X842" s="88"/>
    </row>
    <row r="843" spans="24:24" x14ac:dyDescent="0.2">
      <c r="X843" s="88"/>
    </row>
    <row r="844" spans="24:24" x14ac:dyDescent="0.2">
      <c r="X844" s="88"/>
    </row>
    <row r="845" spans="24:24" x14ac:dyDescent="0.2">
      <c r="X845" s="88"/>
    </row>
    <row r="846" spans="24:24" x14ac:dyDescent="0.2">
      <c r="X846" s="88"/>
    </row>
    <row r="847" spans="24:24" x14ac:dyDescent="0.2">
      <c r="X847" s="88"/>
    </row>
    <row r="848" spans="24:24" x14ac:dyDescent="0.2">
      <c r="X848" s="88"/>
    </row>
    <row r="849" spans="24:24" x14ac:dyDescent="0.2">
      <c r="X849" s="88"/>
    </row>
    <row r="850" spans="24:24" x14ac:dyDescent="0.2">
      <c r="X850" s="88"/>
    </row>
    <row r="851" spans="24:24" x14ac:dyDescent="0.2">
      <c r="X851" s="88"/>
    </row>
    <row r="852" spans="24:24" x14ac:dyDescent="0.2">
      <c r="X852" s="88"/>
    </row>
    <row r="853" spans="24:24" x14ac:dyDescent="0.2">
      <c r="X853" s="88"/>
    </row>
    <row r="854" spans="24:24" x14ac:dyDescent="0.2">
      <c r="X854" s="88"/>
    </row>
    <row r="855" spans="24:24" x14ac:dyDescent="0.2">
      <c r="X855" s="88"/>
    </row>
    <row r="856" spans="24:24" x14ac:dyDescent="0.2">
      <c r="X856" s="88"/>
    </row>
    <row r="857" spans="24:24" x14ac:dyDescent="0.2">
      <c r="X857" s="88"/>
    </row>
    <row r="858" spans="24:24" x14ac:dyDescent="0.2">
      <c r="X858" s="88"/>
    </row>
    <row r="859" spans="24:24" x14ac:dyDescent="0.2">
      <c r="X859" s="88"/>
    </row>
    <row r="860" spans="24:24" x14ac:dyDescent="0.2">
      <c r="X860" s="88"/>
    </row>
    <row r="861" spans="24:24" x14ac:dyDescent="0.2">
      <c r="X861" s="88"/>
    </row>
    <row r="862" spans="24:24" x14ac:dyDescent="0.2">
      <c r="X862" s="88"/>
    </row>
    <row r="863" spans="24:24" x14ac:dyDescent="0.2">
      <c r="X863" s="88"/>
    </row>
    <row r="864" spans="24:24" x14ac:dyDescent="0.2">
      <c r="X864" s="88"/>
    </row>
    <row r="865" spans="24:24" x14ac:dyDescent="0.2">
      <c r="X865" s="88"/>
    </row>
    <row r="866" spans="24:24" x14ac:dyDescent="0.2">
      <c r="X866" s="88"/>
    </row>
    <row r="867" spans="24:24" x14ac:dyDescent="0.2">
      <c r="X867" s="88"/>
    </row>
    <row r="868" spans="24:24" x14ac:dyDescent="0.2">
      <c r="X868" s="88"/>
    </row>
    <row r="869" spans="24:24" x14ac:dyDescent="0.2">
      <c r="X869" s="88"/>
    </row>
    <row r="870" spans="24:24" x14ac:dyDescent="0.2">
      <c r="X870" s="88"/>
    </row>
    <row r="871" spans="24:24" x14ac:dyDescent="0.2">
      <c r="X871" s="88"/>
    </row>
    <row r="872" spans="24:24" x14ac:dyDescent="0.2">
      <c r="X872" s="88"/>
    </row>
    <row r="873" spans="24:24" x14ac:dyDescent="0.2">
      <c r="X873" s="88"/>
    </row>
    <row r="874" spans="24:24" x14ac:dyDescent="0.2">
      <c r="X874" s="88"/>
    </row>
    <row r="875" spans="24:24" x14ac:dyDescent="0.2">
      <c r="X875" s="88"/>
    </row>
    <row r="876" spans="24:24" x14ac:dyDescent="0.2">
      <c r="X876" s="88"/>
    </row>
    <row r="877" spans="24:24" x14ac:dyDescent="0.2">
      <c r="X877" s="88"/>
    </row>
    <row r="878" spans="24:24" x14ac:dyDescent="0.2">
      <c r="X878" s="88"/>
    </row>
    <row r="879" spans="24:24" x14ac:dyDescent="0.2">
      <c r="X879" s="88"/>
    </row>
    <row r="880" spans="24:24" x14ac:dyDescent="0.2">
      <c r="X880" s="88"/>
    </row>
    <row r="881" spans="24:24" x14ac:dyDescent="0.2">
      <c r="X881" s="88"/>
    </row>
    <row r="882" spans="24:24" x14ac:dyDescent="0.2">
      <c r="X882" s="88"/>
    </row>
    <row r="883" spans="24:24" x14ac:dyDescent="0.2">
      <c r="X883" s="88"/>
    </row>
    <row r="884" spans="24:24" x14ac:dyDescent="0.2">
      <c r="X884" s="88"/>
    </row>
    <row r="885" spans="24:24" x14ac:dyDescent="0.2">
      <c r="X885" s="88"/>
    </row>
    <row r="886" spans="24:24" x14ac:dyDescent="0.2">
      <c r="X886" s="88"/>
    </row>
    <row r="887" spans="24:24" x14ac:dyDescent="0.2">
      <c r="X887" s="88"/>
    </row>
    <row r="888" spans="24:24" x14ac:dyDescent="0.2">
      <c r="X888" s="88"/>
    </row>
    <row r="889" spans="24:24" x14ac:dyDescent="0.2">
      <c r="X889" s="88"/>
    </row>
    <row r="890" spans="24:24" x14ac:dyDescent="0.2">
      <c r="X890" s="88"/>
    </row>
    <row r="891" spans="24:24" x14ac:dyDescent="0.2">
      <c r="X891" s="88"/>
    </row>
    <row r="892" spans="24:24" x14ac:dyDescent="0.2">
      <c r="X892" s="88"/>
    </row>
    <row r="893" spans="24:24" x14ac:dyDescent="0.2">
      <c r="X893" s="88"/>
    </row>
    <row r="894" spans="24:24" x14ac:dyDescent="0.2">
      <c r="X894" s="88"/>
    </row>
    <row r="895" spans="24:24" x14ac:dyDescent="0.2">
      <c r="X895" s="88"/>
    </row>
    <row r="896" spans="24:24" x14ac:dyDescent="0.2">
      <c r="X896" s="88"/>
    </row>
    <row r="897" spans="24:24" x14ac:dyDescent="0.2">
      <c r="X897" s="88"/>
    </row>
    <row r="898" spans="24:24" x14ac:dyDescent="0.2">
      <c r="X898" s="88"/>
    </row>
    <row r="899" spans="24:24" x14ac:dyDescent="0.2">
      <c r="X899" s="88"/>
    </row>
    <row r="900" spans="24:24" x14ac:dyDescent="0.2">
      <c r="X900" s="88"/>
    </row>
    <row r="901" spans="24:24" x14ac:dyDescent="0.2">
      <c r="X901" s="88"/>
    </row>
    <row r="902" spans="24:24" x14ac:dyDescent="0.2">
      <c r="X902" s="88"/>
    </row>
    <row r="903" spans="24:24" x14ac:dyDescent="0.2">
      <c r="X903" s="88"/>
    </row>
    <row r="904" spans="24:24" x14ac:dyDescent="0.2">
      <c r="X904" s="88"/>
    </row>
    <row r="905" spans="24:24" x14ac:dyDescent="0.2">
      <c r="X905" s="88"/>
    </row>
    <row r="906" spans="24:24" x14ac:dyDescent="0.2">
      <c r="X906" s="88"/>
    </row>
    <row r="907" spans="24:24" x14ac:dyDescent="0.2">
      <c r="X907" s="88"/>
    </row>
    <row r="908" spans="24:24" x14ac:dyDescent="0.2">
      <c r="X908" s="88"/>
    </row>
    <row r="909" spans="24:24" x14ac:dyDescent="0.2">
      <c r="X909" s="88"/>
    </row>
    <row r="910" spans="24:24" x14ac:dyDescent="0.2">
      <c r="X910" s="88"/>
    </row>
    <row r="911" spans="24:24" x14ac:dyDescent="0.2">
      <c r="X911" s="88"/>
    </row>
    <row r="912" spans="24:24" x14ac:dyDescent="0.2">
      <c r="X912" s="88"/>
    </row>
    <row r="913" spans="24:24" x14ac:dyDescent="0.2">
      <c r="X913" s="88"/>
    </row>
    <row r="914" spans="24:24" x14ac:dyDescent="0.2">
      <c r="X914" s="88"/>
    </row>
    <row r="915" spans="24:24" x14ac:dyDescent="0.2">
      <c r="X915" s="88"/>
    </row>
    <row r="916" spans="24:24" x14ac:dyDescent="0.2">
      <c r="X916" s="88"/>
    </row>
    <row r="917" spans="24:24" x14ac:dyDescent="0.2">
      <c r="X917" s="88"/>
    </row>
    <row r="918" spans="24:24" x14ac:dyDescent="0.2">
      <c r="X918" s="88"/>
    </row>
    <row r="919" spans="24:24" x14ac:dyDescent="0.2">
      <c r="X919" s="88"/>
    </row>
    <row r="920" spans="24:24" x14ac:dyDescent="0.2">
      <c r="X920" s="88"/>
    </row>
    <row r="921" spans="24:24" x14ac:dyDescent="0.2">
      <c r="X921" s="88"/>
    </row>
    <row r="922" spans="24:24" x14ac:dyDescent="0.2">
      <c r="X922" s="88"/>
    </row>
    <row r="923" spans="24:24" x14ac:dyDescent="0.2">
      <c r="X923" s="88"/>
    </row>
    <row r="924" spans="24:24" x14ac:dyDescent="0.2">
      <c r="X924" s="88"/>
    </row>
    <row r="925" spans="24:24" x14ac:dyDescent="0.2">
      <c r="X925" s="88"/>
    </row>
    <row r="926" spans="24:24" x14ac:dyDescent="0.2">
      <c r="X926" s="88"/>
    </row>
    <row r="927" spans="24:24" x14ac:dyDescent="0.2">
      <c r="X927" s="88"/>
    </row>
    <row r="928" spans="24:24" x14ac:dyDescent="0.2">
      <c r="X928" s="88"/>
    </row>
    <row r="929" spans="24:24" x14ac:dyDescent="0.2">
      <c r="X929" s="88"/>
    </row>
    <row r="930" spans="24:24" x14ac:dyDescent="0.2">
      <c r="X930" s="88"/>
    </row>
    <row r="931" spans="24:24" x14ac:dyDescent="0.2">
      <c r="X931" s="88"/>
    </row>
    <row r="932" spans="24:24" x14ac:dyDescent="0.2">
      <c r="X932" s="88"/>
    </row>
    <row r="933" spans="24:24" x14ac:dyDescent="0.2">
      <c r="X933" s="88"/>
    </row>
    <row r="934" spans="24:24" x14ac:dyDescent="0.2">
      <c r="X934" s="88"/>
    </row>
    <row r="935" spans="24:24" x14ac:dyDescent="0.2">
      <c r="X935" s="88"/>
    </row>
    <row r="936" spans="24:24" x14ac:dyDescent="0.2">
      <c r="X936" s="88"/>
    </row>
    <row r="937" spans="24:24" x14ac:dyDescent="0.2">
      <c r="X937" s="88"/>
    </row>
    <row r="938" spans="24:24" x14ac:dyDescent="0.2">
      <c r="X938" s="88"/>
    </row>
    <row r="939" spans="24:24" x14ac:dyDescent="0.2">
      <c r="X939" s="88"/>
    </row>
    <row r="940" spans="24:24" x14ac:dyDescent="0.2">
      <c r="X940" s="88"/>
    </row>
    <row r="941" spans="24:24" x14ac:dyDescent="0.2">
      <c r="X941" s="88"/>
    </row>
    <row r="942" spans="24:24" x14ac:dyDescent="0.2">
      <c r="X942" s="88"/>
    </row>
    <row r="943" spans="24:24" x14ac:dyDescent="0.2">
      <c r="X943" s="88"/>
    </row>
    <row r="944" spans="24:24" x14ac:dyDescent="0.2">
      <c r="X944" s="88"/>
    </row>
    <row r="945" spans="24:24" x14ac:dyDescent="0.2">
      <c r="X945" s="88"/>
    </row>
    <row r="946" spans="24:24" x14ac:dyDescent="0.2">
      <c r="X946" s="88"/>
    </row>
    <row r="947" spans="24:24" x14ac:dyDescent="0.2">
      <c r="X947" s="88"/>
    </row>
    <row r="948" spans="24:24" x14ac:dyDescent="0.2">
      <c r="X948" s="88"/>
    </row>
    <row r="949" spans="24:24" x14ac:dyDescent="0.2">
      <c r="X949" s="88"/>
    </row>
    <row r="950" spans="24:24" x14ac:dyDescent="0.2">
      <c r="X950" s="88"/>
    </row>
    <row r="951" spans="24:24" x14ac:dyDescent="0.2">
      <c r="X951" s="88"/>
    </row>
    <row r="952" spans="24:24" x14ac:dyDescent="0.2">
      <c r="X952" s="88"/>
    </row>
    <row r="953" spans="24:24" x14ac:dyDescent="0.2">
      <c r="X953" s="88"/>
    </row>
    <row r="954" spans="24:24" x14ac:dyDescent="0.2">
      <c r="X954" s="88"/>
    </row>
    <row r="955" spans="24:24" x14ac:dyDescent="0.2">
      <c r="X955" s="88"/>
    </row>
    <row r="956" spans="24:24" x14ac:dyDescent="0.2">
      <c r="X956" s="88"/>
    </row>
    <row r="957" spans="24:24" x14ac:dyDescent="0.2">
      <c r="X957" s="88"/>
    </row>
    <row r="958" spans="24:24" x14ac:dyDescent="0.2">
      <c r="X958" s="88"/>
    </row>
    <row r="959" spans="24:24" x14ac:dyDescent="0.2">
      <c r="X959" s="88"/>
    </row>
    <row r="960" spans="24:24" x14ac:dyDescent="0.2">
      <c r="X960" s="88"/>
    </row>
    <row r="961" spans="24:24" x14ac:dyDescent="0.2">
      <c r="X961" s="88"/>
    </row>
    <row r="962" spans="24:24" x14ac:dyDescent="0.2">
      <c r="X962" s="88"/>
    </row>
    <row r="963" spans="24:24" x14ac:dyDescent="0.2">
      <c r="X963" s="88"/>
    </row>
    <row r="964" spans="24:24" x14ac:dyDescent="0.2">
      <c r="X964" s="88"/>
    </row>
    <row r="965" spans="24:24" x14ac:dyDescent="0.2">
      <c r="X965" s="88"/>
    </row>
    <row r="966" spans="24:24" x14ac:dyDescent="0.2">
      <c r="X966" s="88"/>
    </row>
    <row r="967" spans="24:24" x14ac:dyDescent="0.2">
      <c r="X967" s="88"/>
    </row>
    <row r="968" spans="24:24" x14ac:dyDescent="0.2">
      <c r="X968" s="88"/>
    </row>
    <row r="969" spans="24:24" x14ac:dyDescent="0.2">
      <c r="X969" s="88"/>
    </row>
    <row r="970" spans="24:24" x14ac:dyDescent="0.2">
      <c r="X970" s="88"/>
    </row>
    <row r="971" spans="24:24" x14ac:dyDescent="0.2">
      <c r="X971" s="88"/>
    </row>
    <row r="972" spans="24:24" x14ac:dyDescent="0.2">
      <c r="X972" s="88"/>
    </row>
    <row r="973" spans="24:24" x14ac:dyDescent="0.2">
      <c r="X973" s="88"/>
    </row>
    <row r="974" spans="24:24" x14ac:dyDescent="0.2">
      <c r="X974" s="88"/>
    </row>
    <row r="975" spans="24:24" x14ac:dyDescent="0.2">
      <c r="X975" s="88"/>
    </row>
    <row r="976" spans="24:24" x14ac:dyDescent="0.2">
      <c r="X976" s="88"/>
    </row>
    <row r="977" spans="24:24" x14ac:dyDescent="0.2">
      <c r="X977" s="88"/>
    </row>
    <row r="978" spans="24:24" x14ac:dyDescent="0.2">
      <c r="X978" s="88"/>
    </row>
    <row r="979" spans="24:24" x14ac:dyDescent="0.2">
      <c r="X979" s="88"/>
    </row>
    <row r="980" spans="24:24" x14ac:dyDescent="0.2">
      <c r="X980" s="88"/>
    </row>
    <row r="981" spans="24:24" x14ac:dyDescent="0.2">
      <c r="X981" s="88"/>
    </row>
    <row r="982" spans="24:24" x14ac:dyDescent="0.2">
      <c r="X982" s="88"/>
    </row>
    <row r="983" spans="24:24" x14ac:dyDescent="0.2">
      <c r="X983" s="88"/>
    </row>
    <row r="984" spans="24:24" x14ac:dyDescent="0.2">
      <c r="X984" s="88"/>
    </row>
    <row r="985" spans="24:24" x14ac:dyDescent="0.2">
      <c r="X985" s="88"/>
    </row>
    <row r="986" spans="24:24" x14ac:dyDescent="0.2">
      <c r="X986" s="88"/>
    </row>
    <row r="987" spans="24:24" x14ac:dyDescent="0.2">
      <c r="X987" s="88"/>
    </row>
    <row r="988" spans="24:24" x14ac:dyDescent="0.2">
      <c r="X988" s="88"/>
    </row>
    <row r="989" spans="24:24" x14ac:dyDescent="0.2">
      <c r="X989" s="88"/>
    </row>
    <row r="990" spans="24:24" x14ac:dyDescent="0.2">
      <c r="X990" s="88"/>
    </row>
    <row r="991" spans="24:24" x14ac:dyDescent="0.2">
      <c r="X991" s="88"/>
    </row>
    <row r="992" spans="24:24" x14ac:dyDescent="0.2">
      <c r="X992" s="88"/>
    </row>
    <row r="993" spans="24:24" x14ac:dyDescent="0.2">
      <c r="X993" s="88"/>
    </row>
    <row r="994" spans="24:24" x14ac:dyDescent="0.2">
      <c r="X994" s="88"/>
    </row>
    <row r="995" spans="24:24" x14ac:dyDescent="0.2">
      <c r="X995" s="88"/>
    </row>
    <row r="996" spans="24:24" x14ac:dyDescent="0.2">
      <c r="X996" s="88"/>
    </row>
    <row r="997" spans="24:24" x14ac:dyDescent="0.2">
      <c r="X997" s="88"/>
    </row>
    <row r="998" spans="24:24" x14ac:dyDescent="0.2">
      <c r="X998" s="88"/>
    </row>
    <row r="999" spans="24:24" x14ac:dyDescent="0.2">
      <c r="X999" s="88"/>
    </row>
    <row r="1000" spans="24:24" x14ac:dyDescent="0.2">
      <c r="X1000" s="88"/>
    </row>
    <row r="1001" spans="24:24" x14ac:dyDescent="0.2">
      <c r="X1001" s="88"/>
    </row>
    <row r="1002" spans="24:24" x14ac:dyDescent="0.2">
      <c r="X1002" s="88"/>
    </row>
    <row r="1003" spans="24:24" x14ac:dyDescent="0.2">
      <c r="X1003" s="88"/>
    </row>
    <row r="1004" spans="24:24" x14ac:dyDescent="0.2">
      <c r="X1004" s="88"/>
    </row>
    <row r="1005" spans="24:24" x14ac:dyDescent="0.2">
      <c r="X1005" s="88"/>
    </row>
    <row r="1006" spans="24:24" x14ac:dyDescent="0.2">
      <c r="X1006" s="88"/>
    </row>
    <row r="1007" spans="24:24" x14ac:dyDescent="0.2">
      <c r="X1007" s="88"/>
    </row>
    <row r="1008" spans="24:24" x14ac:dyDescent="0.2">
      <c r="X1008" s="88"/>
    </row>
    <row r="1009" spans="24:24" x14ac:dyDescent="0.2">
      <c r="X1009" s="88"/>
    </row>
    <row r="1010" spans="24:24" x14ac:dyDescent="0.2">
      <c r="X1010" s="88"/>
    </row>
    <row r="1011" spans="24:24" x14ac:dyDescent="0.2">
      <c r="X1011" s="88"/>
    </row>
    <row r="1012" spans="24:24" x14ac:dyDescent="0.2">
      <c r="X1012" s="88"/>
    </row>
    <row r="1013" spans="24:24" x14ac:dyDescent="0.2">
      <c r="X1013" s="88"/>
    </row>
    <row r="1014" spans="24:24" x14ac:dyDescent="0.2">
      <c r="X1014" s="88"/>
    </row>
    <row r="1015" spans="24:24" x14ac:dyDescent="0.2">
      <c r="X1015" s="88"/>
    </row>
    <row r="1016" spans="24:24" x14ac:dyDescent="0.2">
      <c r="X1016" s="88"/>
    </row>
    <row r="1017" spans="24:24" x14ac:dyDescent="0.2">
      <c r="X1017" s="88"/>
    </row>
    <row r="1018" spans="24:24" x14ac:dyDescent="0.2">
      <c r="X1018" s="88"/>
    </row>
    <row r="1019" spans="24:24" x14ac:dyDescent="0.2">
      <c r="X1019" s="88"/>
    </row>
    <row r="1020" spans="24:24" x14ac:dyDescent="0.2">
      <c r="X1020" s="88"/>
    </row>
    <row r="1021" spans="24:24" x14ac:dyDescent="0.2">
      <c r="X1021" s="88"/>
    </row>
    <row r="1022" spans="24:24" x14ac:dyDescent="0.2">
      <c r="X1022" s="88"/>
    </row>
    <row r="1023" spans="24:24" x14ac:dyDescent="0.2">
      <c r="X1023" s="88"/>
    </row>
    <row r="1024" spans="24:24" x14ac:dyDescent="0.2">
      <c r="X1024" s="88"/>
    </row>
    <row r="1025" spans="24:24" x14ac:dyDescent="0.2">
      <c r="X1025" s="88"/>
    </row>
    <row r="1026" spans="24:24" x14ac:dyDescent="0.2">
      <c r="X1026" s="88"/>
    </row>
    <row r="1027" spans="24:24" x14ac:dyDescent="0.2">
      <c r="X1027" s="88"/>
    </row>
    <row r="1028" spans="24:24" x14ac:dyDescent="0.2">
      <c r="X1028" s="88"/>
    </row>
    <row r="1029" spans="24:24" x14ac:dyDescent="0.2">
      <c r="X1029" s="88"/>
    </row>
    <row r="1030" spans="24:24" x14ac:dyDescent="0.2">
      <c r="X1030" s="88"/>
    </row>
    <row r="1031" spans="24:24" x14ac:dyDescent="0.2">
      <c r="X1031" s="88"/>
    </row>
    <row r="1032" spans="24:24" x14ac:dyDescent="0.2">
      <c r="X1032" s="88"/>
    </row>
    <row r="1033" spans="24:24" x14ac:dyDescent="0.2">
      <c r="X1033" s="88"/>
    </row>
    <row r="1034" spans="24:24" x14ac:dyDescent="0.2">
      <c r="X1034" s="88"/>
    </row>
    <row r="1035" spans="24:24" x14ac:dyDescent="0.2">
      <c r="X1035" s="88"/>
    </row>
    <row r="1036" spans="24:24" x14ac:dyDescent="0.2">
      <c r="X1036" s="88"/>
    </row>
    <row r="1037" spans="24:24" x14ac:dyDescent="0.2">
      <c r="X1037" s="88"/>
    </row>
    <row r="1038" spans="24:24" x14ac:dyDescent="0.2">
      <c r="X1038" s="88"/>
    </row>
    <row r="1039" spans="24:24" x14ac:dyDescent="0.2">
      <c r="X1039" s="88"/>
    </row>
    <row r="1040" spans="24:24" x14ac:dyDescent="0.2">
      <c r="X1040" s="88"/>
    </row>
    <row r="1041" spans="24:24" x14ac:dyDescent="0.2">
      <c r="X1041" s="88"/>
    </row>
    <row r="1042" spans="24:24" x14ac:dyDescent="0.2">
      <c r="X1042" s="88"/>
    </row>
    <row r="1043" spans="24:24" x14ac:dyDescent="0.2">
      <c r="X1043" s="88"/>
    </row>
    <row r="1044" spans="24:24" x14ac:dyDescent="0.2">
      <c r="X1044" s="88"/>
    </row>
    <row r="1045" spans="24:24" x14ac:dyDescent="0.2">
      <c r="X1045" s="88"/>
    </row>
    <row r="1046" spans="24:24" x14ac:dyDescent="0.2">
      <c r="X1046" s="88"/>
    </row>
    <row r="1047" spans="24:24" x14ac:dyDescent="0.2">
      <c r="X1047" s="88"/>
    </row>
    <row r="1048" spans="24:24" x14ac:dyDescent="0.2">
      <c r="X1048" s="88"/>
    </row>
    <row r="1049" spans="24:24" x14ac:dyDescent="0.2">
      <c r="X1049" s="88"/>
    </row>
    <row r="1050" spans="24:24" x14ac:dyDescent="0.2">
      <c r="X1050" s="88"/>
    </row>
    <row r="1051" spans="24:24" x14ac:dyDescent="0.2">
      <c r="X1051" s="88"/>
    </row>
    <row r="1052" spans="24:24" x14ac:dyDescent="0.2">
      <c r="X1052" s="88"/>
    </row>
    <row r="1053" spans="24:24" x14ac:dyDescent="0.2">
      <c r="X1053" s="88"/>
    </row>
    <row r="1054" spans="24:24" x14ac:dyDescent="0.2">
      <c r="X1054" s="88"/>
    </row>
    <row r="1055" spans="24:24" x14ac:dyDescent="0.2">
      <c r="X1055" s="88"/>
    </row>
    <row r="1056" spans="24:24" x14ac:dyDescent="0.2">
      <c r="X1056" s="88"/>
    </row>
    <row r="1057" spans="24:24" x14ac:dyDescent="0.2">
      <c r="X1057" s="88"/>
    </row>
    <row r="1058" spans="24:24" x14ac:dyDescent="0.2">
      <c r="X1058" s="88"/>
    </row>
    <row r="1059" spans="24:24" x14ac:dyDescent="0.2">
      <c r="X1059" s="88"/>
    </row>
    <row r="1060" spans="24:24" x14ac:dyDescent="0.2">
      <c r="X1060" s="88"/>
    </row>
    <row r="1061" spans="24:24" x14ac:dyDescent="0.2">
      <c r="X1061" s="88"/>
    </row>
    <row r="1062" spans="24:24" x14ac:dyDescent="0.2">
      <c r="X1062" s="88"/>
    </row>
    <row r="1063" spans="24:24" x14ac:dyDescent="0.2">
      <c r="X1063" s="88"/>
    </row>
    <row r="1064" spans="24:24" x14ac:dyDescent="0.2">
      <c r="X1064" s="88"/>
    </row>
    <row r="1065" spans="24:24" x14ac:dyDescent="0.2">
      <c r="X1065" s="88"/>
    </row>
    <row r="1066" spans="24:24" x14ac:dyDescent="0.2">
      <c r="X1066" s="88"/>
    </row>
    <row r="1067" spans="24:24" x14ac:dyDescent="0.2">
      <c r="X1067" s="88"/>
    </row>
    <row r="1068" spans="24:24" x14ac:dyDescent="0.2">
      <c r="X1068" s="88"/>
    </row>
    <row r="1069" spans="24:24" x14ac:dyDescent="0.2">
      <c r="X1069" s="88"/>
    </row>
    <row r="1070" spans="24:24" x14ac:dyDescent="0.2">
      <c r="X1070" s="88"/>
    </row>
    <row r="1071" spans="24:24" x14ac:dyDescent="0.2">
      <c r="X1071" s="88"/>
    </row>
    <row r="1072" spans="24:24" x14ac:dyDescent="0.2">
      <c r="X1072" s="88"/>
    </row>
    <row r="1073" spans="24:24" x14ac:dyDescent="0.2">
      <c r="X1073" s="88"/>
    </row>
    <row r="1074" spans="24:24" x14ac:dyDescent="0.2">
      <c r="X1074" s="88"/>
    </row>
    <row r="1075" spans="24:24" x14ac:dyDescent="0.2">
      <c r="X1075" s="88"/>
    </row>
    <row r="1076" spans="24:24" x14ac:dyDescent="0.2">
      <c r="X1076" s="88"/>
    </row>
    <row r="1077" spans="24:24" x14ac:dyDescent="0.2">
      <c r="X1077" s="88"/>
    </row>
    <row r="1078" spans="24:24" x14ac:dyDescent="0.2">
      <c r="X1078" s="88"/>
    </row>
    <row r="1079" spans="24:24" x14ac:dyDescent="0.2">
      <c r="X1079" s="88"/>
    </row>
    <row r="1080" spans="24:24" x14ac:dyDescent="0.2">
      <c r="X1080" s="88"/>
    </row>
    <row r="1081" spans="24:24" x14ac:dyDescent="0.2">
      <c r="X1081" s="88"/>
    </row>
    <row r="1082" spans="24:24" x14ac:dyDescent="0.2">
      <c r="X1082" s="88"/>
    </row>
    <row r="1083" spans="24:24" x14ac:dyDescent="0.2">
      <c r="X1083" s="88"/>
    </row>
    <row r="1084" spans="24:24" x14ac:dyDescent="0.2">
      <c r="X1084" s="88"/>
    </row>
    <row r="1085" spans="24:24" x14ac:dyDescent="0.2">
      <c r="X1085" s="88"/>
    </row>
    <row r="1086" spans="24:24" x14ac:dyDescent="0.2">
      <c r="X1086" s="88"/>
    </row>
    <row r="1087" spans="24:24" x14ac:dyDescent="0.2">
      <c r="X1087" s="88"/>
    </row>
    <row r="1088" spans="24:24" x14ac:dyDescent="0.2">
      <c r="X1088" s="88"/>
    </row>
    <row r="1089" spans="24:24" x14ac:dyDescent="0.2">
      <c r="X1089" s="88"/>
    </row>
    <row r="1090" spans="24:24" x14ac:dyDescent="0.2">
      <c r="X1090" s="88"/>
    </row>
    <row r="1091" spans="24:24" x14ac:dyDescent="0.2">
      <c r="X1091" s="88"/>
    </row>
    <row r="1092" spans="24:24" x14ac:dyDescent="0.2">
      <c r="X1092" s="88"/>
    </row>
    <row r="1093" spans="24:24" x14ac:dyDescent="0.2">
      <c r="X1093" s="88"/>
    </row>
    <row r="1094" spans="24:24" x14ac:dyDescent="0.2">
      <c r="X1094" s="88"/>
    </row>
    <row r="1095" spans="24:24" x14ac:dyDescent="0.2">
      <c r="X1095" s="88"/>
    </row>
    <row r="1096" spans="24:24" x14ac:dyDescent="0.2">
      <c r="X1096" s="88"/>
    </row>
    <row r="1097" spans="24:24" x14ac:dyDescent="0.2">
      <c r="X1097" s="88"/>
    </row>
    <row r="1098" spans="24:24" x14ac:dyDescent="0.2">
      <c r="X1098" s="88"/>
    </row>
    <row r="1099" spans="24:24" x14ac:dyDescent="0.2">
      <c r="X1099" s="88"/>
    </row>
    <row r="1100" spans="24:24" x14ac:dyDescent="0.2">
      <c r="X1100" s="88"/>
    </row>
    <row r="1101" spans="24:24" x14ac:dyDescent="0.2">
      <c r="X1101" s="88"/>
    </row>
    <row r="1102" spans="24:24" x14ac:dyDescent="0.2">
      <c r="X1102" s="88"/>
    </row>
    <row r="1103" spans="24:24" x14ac:dyDescent="0.2">
      <c r="X1103" s="88"/>
    </row>
    <row r="1104" spans="24:24" x14ac:dyDescent="0.2">
      <c r="X1104" s="88"/>
    </row>
    <row r="1105" spans="24:24" x14ac:dyDescent="0.2">
      <c r="X1105" s="88"/>
    </row>
    <row r="1106" spans="24:24" x14ac:dyDescent="0.2">
      <c r="X1106" s="88"/>
    </row>
    <row r="1107" spans="24:24" x14ac:dyDescent="0.2">
      <c r="X1107" s="88"/>
    </row>
    <row r="1108" spans="24:24" x14ac:dyDescent="0.2">
      <c r="X1108" s="88"/>
    </row>
    <row r="1109" spans="24:24" x14ac:dyDescent="0.2">
      <c r="X1109" s="88"/>
    </row>
    <row r="1110" spans="24:24" x14ac:dyDescent="0.2">
      <c r="X1110" s="88"/>
    </row>
    <row r="1111" spans="24:24" x14ac:dyDescent="0.2">
      <c r="X1111" s="88"/>
    </row>
    <row r="1112" spans="24:24" x14ac:dyDescent="0.2">
      <c r="X1112" s="88"/>
    </row>
    <row r="1113" spans="24:24" x14ac:dyDescent="0.2">
      <c r="X1113" s="88"/>
    </row>
    <row r="1114" spans="24:24" x14ac:dyDescent="0.2">
      <c r="X1114" s="88"/>
    </row>
    <row r="1115" spans="24:24" x14ac:dyDescent="0.2">
      <c r="X1115" s="88"/>
    </row>
    <row r="1116" spans="24:24" x14ac:dyDescent="0.2">
      <c r="X1116" s="88"/>
    </row>
    <row r="1117" spans="24:24" x14ac:dyDescent="0.2">
      <c r="X1117" s="88"/>
    </row>
    <row r="1118" spans="24:24" x14ac:dyDescent="0.2">
      <c r="X1118" s="88"/>
    </row>
    <row r="1119" spans="24:24" x14ac:dyDescent="0.2">
      <c r="X1119" s="88"/>
    </row>
    <row r="1120" spans="24:24" x14ac:dyDescent="0.2">
      <c r="X1120" s="88"/>
    </row>
    <row r="1121" spans="24:24" x14ac:dyDescent="0.2">
      <c r="X1121" s="88"/>
    </row>
    <row r="1122" spans="24:24" x14ac:dyDescent="0.2">
      <c r="X1122" s="88"/>
    </row>
    <row r="1123" spans="24:24" x14ac:dyDescent="0.2">
      <c r="X1123" s="88"/>
    </row>
    <row r="1124" spans="24:24" x14ac:dyDescent="0.2">
      <c r="X1124" s="88"/>
    </row>
    <row r="1125" spans="24:24" x14ac:dyDescent="0.2">
      <c r="X1125" s="88"/>
    </row>
    <row r="1126" spans="24:24" x14ac:dyDescent="0.2">
      <c r="X1126" s="88"/>
    </row>
    <row r="1127" spans="24:24" x14ac:dyDescent="0.2">
      <c r="X1127" s="88"/>
    </row>
    <row r="1128" spans="24:24" x14ac:dyDescent="0.2">
      <c r="X1128" s="88"/>
    </row>
    <row r="1129" spans="24:24" x14ac:dyDescent="0.2">
      <c r="X1129" s="88"/>
    </row>
    <row r="1130" spans="24:24" x14ac:dyDescent="0.2">
      <c r="X1130" s="88"/>
    </row>
    <row r="1131" spans="24:24" x14ac:dyDescent="0.2">
      <c r="X1131" s="88"/>
    </row>
    <row r="1132" spans="24:24" x14ac:dyDescent="0.2">
      <c r="X1132" s="88"/>
    </row>
    <row r="1133" spans="24:24" x14ac:dyDescent="0.2">
      <c r="X1133" s="88"/>
    </row>
    <row r="1134" spans="24:24" x14ac:dyDescent="0.2">
      <c r="X1134" s="88"/>
    </row>
    <row r="1135" spans="24:24" x14ac:dyDescent="0.2">
      <c r="X1135" s="88"/>
    </row>
    <row r="1136" spans="24:24" x14ac:dyDescent="0.2">
      <c r="X1136" s="88"/>
    </row>
    <row r="1137" spans="24:24" x14ac:dyDescent="0.2">
      <c r="X1137" s="88"/>
    </row>
    <row r="1138" spans="24:24" x14ac:dyDescent="0.2">
      <c r="X1138" s="88"/>
    </row>
    <row r="1139" spans="24:24" x14ac:dyDescent="0.2">
      <c r="X1139" s="88"/>
    </row>
    <row r="1140" spans="24:24" x14ac:dyDescent="0.2">
      <c r="X1140" s="88"/>
    </row>
    <row r="1141" spans="24:24" x14ac:dyDescent="0.2">
      <c r="X1141" s="88"/>
    </row>
    <row r="1142" spans="24:24" x14ac:dyDescent="0.2">
      <c r="X1142" s="88"/>
    </row>
    <row r="1143" spans="24:24" x14ac:dyDescent="0.2">
      <c r="X1143" s="88"/>
    </row>
    <row r="1144" spans="24:24" x14ac:dyDescent="0.2">
      <c r="X1144" s="88"/>
    </row>
    <row r="1145" spans="24:24" x14ac:dyDescent="0.2">
      <c r="X1145" s="88"/>
    </row>
    <row r="1146" spans="24:24" x14ac:dyDescent="0.2">
      <c r="X1146" s="88"/>
    </row>
    <row r="1147" spans="24:24" x14ac:dyDescent="0.2">
      <c r="X1147" s="88"/>
    </row>
    <row r="1148" spans="24:24" x14ac:dyDescent="0.2">
      <c r="X1148" s="88"/>
    </row>
    <row r="1149" spans="24:24" x14ac:dyDescent="0.2">
      <c r="X1149" s="88"/>
    </row>
    <row r="1150" spans="24:24" x14ac:dyDescent="0.2">
      <c r="X1150" s="88"/>
    </row>
    <row r="1151" spans="24:24" x14ac:dyDescent="0.2">
      <c r="X1151" s="88"/>
    </row>
    <row r="1152" spans="24:24" x14ac:dyDescent="0.2">
      <c r="X1152" s="88"/>
    </row>
    <row r="1153" spans="24:24" x14ac:dyDescent="0.2">
      <c r="X1153" s="88"/>
    </row>
    <row r="1154" spans="24:24" x14ac:dyDescent="0.2">
      <c r="X1154" s="88"/>
    </row>
    <row r="1155" spans="24:24" x14ac:dyDescent="0.2">
      <c r="X1155" s="88"/>
    </row>
    <row r="1156" spans="24:24" x14ac:dyDescent="0.2">
      <c r="X1156" s="88"/>
    </row>
    <row r="1157" spans="24:24" x14ac:dyDescent="0.2">
      <c r="X1157" s="88"/>
    </row>
    <row r="1158" spans="24:24" x14ac:dyDescent="0.2">
      <c r="X1158" s="88"/>
    </row>
    <row r="1159" spans="24:24" x14ac:dyDescent="0.2">
      <c r="X1159" s="88"/>
    </row>
    <row r="1160" spans="24:24" x14ac:dyDescent="0.2">
      <c r="X1160" s="88"/>
    </row>
    <row r="1161" spans="24:24" x14ac:dyDescent="0.2">
      <c r="X1161" s="88"/>
    </row>
    <row r="1162" spans="24:24" x14ac:dyDescent="0.2">
      <c r="X1162" s="88"/>
    </row>
    <row r="1163" spans="24:24" x14ac:dyDescent="0.2">
      <c r="X1163" s="88"/>
    </row>
    <row r="1164" spans="24:24" x14ac:dyDescent="0.2">
      <c r="X1164" s="88"/>
    </row>
    <row r="1165" spans="24:24" x14ac:dyDescent="0.2">
      <c r="X1165" s="88"/>
    </row>
    <row r="1166" spans="24:24" x14ac:dyDescent="0.2">
      <c r="X1166" s="88"/>
    </row>
    <row r="1167" spans="24:24" x14ac:dyDescent="0.2">
      <c r="X1167" s="88"/>
    </row>
    <row r="1168" spans="24:24" x14ac:dyDescent="0.2">
      <c r="X1168" s="88"/>
    </row>
    <row r="1169" spans="24:24" x14ac:dyDescent="0.2">
      <c r="X1169" s="88"/>
    </row>
    <row r="1170" spans="24:24" x14ac:dyDescent="0.2">
      <c r="X1170" s="88"/>
    </row>
    <row r="1171" spans="24:24" x14ac:dyDescent="0.2">
      <c r="X1171" s="88"/>
    </row>
    <row r="1172" spans="24:24" x14ac:dyDescent="0.2">
      <c r="X1172" s="88"/>
    </row>
    <row r="1173" spans="24:24" x14ac:dyDescent="0.2">
      <c r="X1173" s="88"/>
    </row>
    <row r="1174" spans="24:24" x14ac:dyDescent="0.2">
      <c r="X1174" s="88"/>
    </row>
    <row r="1175" spans="24:24" x14ac:dyDescent="0.2">
      <c r="X1175" s="88"/>
    </row>
    <row r="1176" spans="24:24" x14ac:dyDescent="0.2">
      <c r="X1176" s="88"/>
    </row>
    <row r="1177" spans="24:24" x14ac:dyDescent="0.2">
      <c r="X1177" s="88"/>
    </row>
    <row r="1178" spans="24:24" x14ac:dyDescent="0.2">
      <c r="X1178" s="88"/>
    </row>
    <row r="1179" spans="24:24" x14ac:dyDescent="0.2">
      <c r="X1179" s="88"/>
    </row>
    <row r="1180" spans="24:24" x14ac:dyDescent="0.2">
      <c r="X1180" s="88"/>
    </row>
    <row r="1181" spans="24:24" x14ac:dyDescent="0.2">
      <c r="X1181" s="88"/>
    </row>
    <row r="1182" spans="24:24" x14ac:dyDescent="0.2">
      <c r="X1182" s="88"/>
    </row>
    <row r="1183" spans="24:24" x14ac:dyDescent="0.2">
      <c r="X1183" s="88"/>
    </row>
    <row r="1184" spans="24:24" x14ac:dyDescent="0.2">
      <c r="X1184" s="88"/>
    </row>
    <row r="1185" spans="24:24" x14ac:dyDescent="0.2">
      <c r="X1185" s="88"/>
    </row>
    <row r="1186" spans="24:24" x14ac:dyDescent="0.2">
      <c r="X1186" s="88"/>
    </row>
    <row r="1187" spans="24:24" x14ac:dyDescent="0.2">
      <c r="X1187" s="88"/>
    </row>
    <row r="1188" spans="24:24" x14ac:dyDescent="0.2">
      <c r="X1188" s="88"/>
    </row>
    <row r="1189" spans="24:24" x14ac:dyDescent="0.2">
      <c r="X1189" s="88"/>
    </row>
    <row r="1190" spans="24:24" x14ac:dyDescent="0.2">
      <c r="X1190" s="88"/>
    </row>
    <row r="1191" spans="24:24" x14ac:dyDescent="0.2">
      <c r="X1191" s="88"/>
    </row>
    <row r="1192" spans="24:24" x14ac:dyDescent="0.2">
      <c r="X1192" s="88"/>
    </row>
    <row r="1193" spans="24:24" x14ac:dyDescent="0.2">
      <c r="X1193" s="88"/>
    </row>
    <row r="1194" spans="24:24" x14ac:dyDescent="0.2">
      <c r="X1194" s="88"/>
    </row>
    <row r="1195" spans="24:24" x14ac:dyDescent="0.2">
      <c r="X1195" s="88"/>
    </row>
    <row r="1196" spans="24:24" x14ac:dyDescent="0.2">
      <c r="X1196" s="88"/>
    </row>
    <row r="1197" spans="24:24" x14ac:dyDescent="0.2">
      <c r="X1197" s="88"/>
    </row>
    <row r="1198" spans="24:24" x14ac:dyDescent="0.2">
      <c r="X1198" s="88"/>
    </row>
    <row r="1199" spans="24:24" x14ac:dyDescent="0.2">
      <c r="X1199" s="88"/>
    </row>
    <row r="1200" spans="24:24" x14ac:dyDescent="0.2">
      <c r="X1200" s="88"/>
    </row>
    <row r="1201" spans="24:24" x14ac:dyDescent="0.2">
      <c r="X1201" s="88"/>
    </row>
    <row r="1202" spans="24:24" x14ac:dyDescent="0.2">
      <c r="X1202" s="88"/>
    </row>
    <row r="1203" spans="24:24" x14ac:dyDescent="0.2">
      <c r="X1203" s="88"/>
    </row>
    <row r="1204" spans="24:24" x14ac:dyDescent="0.2">
      <c r="X1204" s="88"/>
    </row>
    <row r="1205" spans="24:24" x14ac:dyDescent="0.2">
      <c r="X1205" s="88"/>
    </row>
    <row r="1206" spans="24:24" x14ac:dyDescent="0.2">
      <c r="X1206" s="88"/>
    </row>
    <row r="1207" spans="24:24" x14ac:dyDescent="0.2">
      <c r="X1207" s="88"/>
    </row>
    <row r="1208" spans="24:24" x14ac:dyDescent="0.2">
      <c r="X1208" s="88"/>
    </row>
    <row r="1209" spans="24:24" x14ac:dyDescent="0.2">
      <c r="X1209" s="88"/>
    </row>
    <row r="1210" spans="24:24" x14ac:dyDescent="0.2">
      <c r="X1210" s="88"/>
    </row>
    <row r="1211" spans="24:24" x14ac:dyDescent="0.2">
      <c r="X1211" s="88"/>
    </row>
    <row r="1212" spans="24:24" x14ac:dyDescent="0.2">
      <c r="X1212" s="88"/>
    </row>
    <row r="1213" spans="24:24" x14ac:dyDescent="0.2">
      <c r="X1213" s="88"/>
    </row>
    <row r="1214" spans="24:24" x14ac:dyDescent="0.2">
      <c r="X1214" s="88"/>
    </row>
    <row r="1215" spans="24:24" x14ac:dyDescent="0.2">
      <c r="X1215" s="88"/>
    </row>
    <row r="1216" spans="24:24" x14ac:dyDescent="0.2">
      <c r="X1216" s="88"/>
    </row>
    <row r="1217" spans="24:24" x14ac:dyDescent="0.2">
      <c r="X1217" s="88"/>
    </row>
    <row r="1218" spans="24:24" x14ac:dyDescent="0.2">
      <c r="X1218" s="88"/>
    </row>
    <row r="1219" spans="24:24" x14ac:dyDescent="0.2">
      <c r="X1219" s="88"/>
    </row>
    <row r="1220" spans="24:24" x14ac:dyDescent="0.2">
      <c r="X1220" s="88"/>
    </row>
    <row r="1221" spans="24:24" x14ac:dyDescent="0.2">
      <c r="X1221" s="88"/>
    </row>
    <row r="1222" spans="24:24" x14ac:dyDescent="0.2">
      <c r="X1222" s="88"/>
    </row>
    <row r="1223" spans="24:24" x14ac:dyDescent="0.2">
      <c r="X1223" s="88"/>
    </row>
    <row r="1224" spans="24:24" x14ac:dyDescent="0.2">
      <c r="X1224" s="88"/>
    </row>
    <row r="1225" spans="24:24" x14ac:dyDescent="0.2">
      <c r="X1225" s="88"/>
    </row>
    <row r="1226" spans="24:24" x14ac:dyDescent="0.2">
      <c r="X1226" s="88"/>
    </row>
    <row r="1227" spans="24:24" x14ac:dyDescent="0.2">
      <c r="X1227" s="88"/>
    </row>
    <row r="1228" spans="24:24" x14ac:dyDescent="0.2">
      <c r="X1228" s="88"/>
    </row>
    <row r="1229" spans="24:24" x14ac:dyDescent="0.2">
      <c r="X1229" s="88"/>
    </row>
    <row r="1230" spans="24:24" x14ac:dyDescent="0.2">
      <c r="X1230" s="88"/>
    </row>
    <row r="1231" spans="24:24" x14ac:dyDescent="0.2">
      <c r="X1231" s="88"/>
    </row>
    <row r="1232" spans="24:24" x14ac:dyDescent="0.2">
      <c r="X1232" s="88"/>
    </row>
    <row r="1233" spans="24:24" x14ac:dyDescent="0.2">
      <c r="X1233" s="88"/>
    </row>
    <row r="1234" spans="24:24" x14ac:dyDescent="0.2">
      <c r="X1234" s="88"/>
    </row>
    <row r="1235" spans="24:24" x14ac:dyDescent="0.2">
      <c r="X1235" s="88"/>
    </row>
    <row r="1236" spans="24:24" x14ac:dyDescent="0.2">
      <c r="X1236" s="88"/>
    </row>
    <row r="1237" spans="24:24" x14ac:dyDescent="0.2">
      <c r="X1237" s="88"/>
    </row>
    <row r="1238" spans="24:24" x14ac:dyDescent="0.2">
      <c r="X1238" s="88"/>
    </row>
    <row r="1239" spans="24:24" x14ac:dyDescent="0.2">
      <c r="X1239" s="88"/>
    </row>
    <row r="1240" spans="24:24" x14ac:dyDescent="0.2">
      <c r="X1240" s="88"/>
    </row>
    <row r="1241" spans="24:24" x14ac:dyDescent="0.2">
      <c r="X1241" s="88"/>
    </row>
    <row r="1242" spans="24:24" x14ac:dyDescent="0.2">
      <c r="X1242" s="88"/>
    </row>
    <row r="1243" spans="24:24" x14ac:dyDescent="0.2">
      <c r="X1243" s="88"/>
    </row>
    <row r="1244" spans="24:24" x14ac:dyDescent="0.2">
      <c r="X1244" s="88"/>
    </row>
    <row r="1245" spans="24:24" x14ac:dyDescent="0.2">
      <c r="X1245" s="88"/>
    </row>
    <row r="1246" spans="24:24" x14ac:dyDescent="0.2">
      <c r="X1246" s="88"/>
    </row>
    <row r="1247" spans="24:24" x14ac:dyDescent="0.2">
      <c r="X1247" s="88"/>
    </row>
    <row r="1248" spans="24:24" x14ac:dyDescent="0.2">
      <c r="X1248" s="88"/>
    </row>
    <row r="1249" spans="24:24" x14ac:dyDescent="0.2">
      <c r="X1249" s="88"/>
    </row>
    <row r="1250" spans="24:24" x14ac:dyDescent="0.2">
      <c r="X1250" s="88"/>
    </row>
    <row r="1251" spans="24:24" x14ac:dyDescent="0.2">
      <c r="X1251" s="88"/>
    </row>
    <row r="1252" spans="24:24" x14ac:dyDescent="0.2">
      <c r="X1252" s="88"/>
    </row>
    <row r="1253" spans="24:24" x14ac:dyDescent="0.2">
      <c r="X1253" s="88"/>
    </row>
    <row r="1254" spans="24:24" x14ac:dyDescent="0.2">
      <c r="X1254" s="88"/>
    </row>
    <row r="1255" spans="24:24" x14ac:dyDescent="0.2">
      <c r="X1255" s="88"/>
    </row>
    <row r="1256" spans="24:24" x14ac:dyDescent="0.2">
      <c r="X1256" s="88"/>
    </row>
    <row r="1257" spans="24:24" x14ac:dyDescent="0.2">
      <c r="X1257" s="88"/>
    </row>
    <row r="1258" spans="24:24" x14ac:dyDescent="0.2">
      <c r="X1258" s="88"/>
    </row>
    <row r="1259" spans="24:24" x14ac:dyDescent="0.2">
      <c r="X1259" s="88"/>
    </row>
    <row r="1260" spans="24:24" x14ac:dyDescent="0.2">
      <c r="X1260" s="88"/>
    </row>
    <row r="1261" spans="24:24" x14ac:dyDescent="0.2">
      <c r="X1261" s="88"/>
    </row>
    <row r="1262" spans="24:24" x14ac:dyDescent="0.2">
      <c r="X1262" s="88"/>
    </row>
    <row r="1263" spans="24:24" x14ac:dyDescent="0.2">
      <c r="X1263" s="88"/>
    </row>
    <row r="1264" spans="24:24" x14ac:dyDescent="0.2">
      <c r="X1264" s="88"/>
    </row>
    <row r="1265" spans="24:24" x14ac:dyDescent="0.2">
      <c r="X1265" s="88"/>
    </row>
    <row r="1266" spans="24:24" x14ac:dyDescent="0.2">
      <c r="X1266" s="88"/>
    </row>
    <row r="1267" spans="24:24" x14ac:dyDescent="0.2">
      <c r="X1267" s="88"/>
    </row>
    <row r="1268" spans="24:24" x14ac:dyDescent="0.2">
      <c r="X1268" s="88"/>
    </row>
    <row r="1269" spans="24:24" x14ac:dyDescent="0.2">
      <c r="X1269" s="88"/>
    </row>
    <row r="1270" spans="24:24" x14ac:dyDescent="0.2">
      <c r="X1270" s="88"/>
    </row>
    <row r="1271" spans="24:24" x14ac:dyDescent="0.2">
      <c r="X1271" s="88"/>
    </row>
    <row r="1272" spans="24:24" x14ac:dyDescent="0.2">
      <c r="X1272" s="88"/>
    </row>
    <row r="1273" spans="24:24" x14ac:dyDescent="0.2">
      <c r="X1273" s="88"/>
    </row>
    <row r="1274" spans="24:24" x14ac:dyDescent="0.2">
      <c r="X1274" s="88"/>
    </row>
    <row r="1275" spans="24:24" x14ac:dyDescent="0.2">
      <c r="X1275" s="88"/>
    </row>
    <row r="1276" spans="24:24" x14ac:dyDescent="0.2">
      <c r="X1276" s="88"/>
    </row>
    <row r="1277" spans="24:24" x14ac:dyDescent="0.2">
      <c r="X1277" s="88"/>
    </row>
    <row r="1278" spans="24:24" x14ac:dyDescent="0.2">
      <c r="X1278" s="88"/>
    </row>
    <row r="1279" spans="24:24" x14ac:dyDescent="0.2">
      <c r="X1279" s="88"/>
    </row>
    <row r="1280" spans="24:24" x14ac:dyDescent="0.2">
      <c r="X1280" s="88"/>
    </row>
    <row r="1281" spans="24:24" x14ac:dyDescent="0.2">
      <c r="X1281" s="88"/>
    </row>
    <row r="1282" spans="24:24" x14ac:dyDescent="0.2">
      <c r="X1282" s="88"/>
    </row>
    <row r="1283" spans="24:24" x14ac:dyDescent="0.2">
      <c r="X1283" s="88"/>
    </row>
    <row r="1284" spans="24:24" x14ac:dyDescent="0.2">
      <c r="X1284" s="88"/>
    </row>
    <row r="1285" spans="24:24" x14ac:dyDescent="0.2">
      <c r="X1285" s="88"/>
    </row>
    <row r="1286" spans="24:24" x14ac:dyDescent="0.2">
      <c r="X1286" s="88"/>
    </row>
    <row r="1287" spans="24:24" x14ac:dyDescent="0.2">
      <c r="X1287" s="88"/>
    </row>
    <row r="1288" spans="24:24" x14ac:dyDescent="0.2">
      <c r="X1288" s="88"/>
    </row>
    <row r="1289" spans="24:24" x14ac:dyDescent="0.2">
      <c r="X1289" s="88"/>
    </row>
    <row r="1290" spans="24:24" x14ac:dyDescent="0.2">
      <c r="X1290" s="88"/>
    </row>
    <row r="1291" spans="24:24" x14ac:dyDescent="0.2">
      <c r="X1291" s="88"/>
    </row>
    <row r="1292" spans="24:24" x14ac:dyDescent="0.2">
      <c r="X1292" s="88"/>
    </row>
    <row r="1293" spans="24:24" x14ac:dyDescent="0.2">
      <c r="X1293" s="88"/>
    </row>
    <row r="1294" spans="24:24" x14ac:dyDescent="0.2">
      <c r="X1294" s="88"/>
    </row>
    <row r="1295" spans="24:24" x14ac:dyDescent="0.2">
      <c r="X1295" s="88"/>
    </row>
    <row r="1296" spans="24:24" x14ac:dyDescent="0.2">
      <c r="X1296" s="88"/>
    </row>
    <row r="1297" spans="24:24" x14ac:dyDescent="0.2">
      <c r="X1297" s="88"/>
    </row>
    <row r="1298" spans="24:24" x14ac:dyDescent="0.2">
      <c r="X1298" s="88"/>
    </row>
    <row r="1299" spans="24:24" x14ac:dyDescent="0.2">
      <c r="X1299" s="88"/>
    </row>
    <row r="1300" spans="24:24" x14ac:dyDescent="0.2">
      <c r="X1300" s="88"/>
    </row>
    <row r="1301" spans="24:24" x14ac:dyDescent="0.2">
      <c r="X1301" s="88"/>
    </row>
    <row r="1302" spans="24:24" x14ac:dyDescent="0.2">
      <c r="X1302" s="88"/>
    </row>
    <row r="1303" spans="24:24" x14ac:dyDescent="0.2">
      <c r="X1303" s="88"/>
    </row>
    <row r="1304" spans="24:24" x14ac:dyDescent="0.2">
      <c r="X1304" s="88"/>
    </row>
    <row r="1305" spans="24:24" x14ac:dyDescent="0.2">
      <c r="X1305" s="88"/>
    </row>
    <row r="1306" spans="24:24" x14ac:dyDescent="0.2">
      <c r="X1306" s="88"/>
    </row>
    <row r="1307" spans="24:24" x14ac:dyDescent="0.2">
      <c r="X1307" s="88"/>
    </row>
    <row r="1308" spans="24:24" x14ac:dyDescent="0.2">
      <c r="X1308" s="88"/>
    </row>
    <row r="1309" spans="24:24" x14ac:dyDescent="0.2">
      <c r="X1309" s="88"/>
    </row>
    <row r="1310" spans="24:24" x14ac:dyDescent="0.2">
      <c r="X1310" s="88"/>
    </row>
    <row r="1311" spans="24:24" x14ac:dyDescent="0.2">
      <c r="X1311" s="88"/>
    </row>
    <row r="1312" spans="24:24" x14ac:dyDescent="0.2">
      <c r="X1312" s="88"/>
    </row>
    <row r="1313" spans="24:24" x14ac:dyDescent="0.2">
      <c r="X1313" s="88"/>
    </row>
    <row r="1314" spans="24:24" x14ac:dyDescent="0.2">
      <c r="X1314" s="88"/>
    </row>
    <row r="1315" spans="24:24" x14ac:dyDescent="0.2">
      <c r="X1315" s="88"/>
    </row>
    <row r="1316" spans="24:24" x14ac:dyDescent="0.2">
      <c r="X1316" s="88"/>
    </row>
    <row r="1317" spans="24:24" x14ac:dyDescent="0.2">
      <c r="X1317" s="88"/>
    </row>
    <row r="1318" spans="24:24" x14ac:dyDescent="0.2">
      <c r="X1318" s="88"/>
    </row>
    <row r="1319" spans="24:24" x14ac:dyDescent="0.2">
      <c r="X1319" s="88"/>
    </row>
    <row r="1320" spans="24:24" x14ac:dyDescent="0.2">
      <c r="X1320" s="88"/>
    </row>
    <row r="1321" spans="24:24" x14ac:dyDescent="0.2">
      <c r="X1321" s="88"/>
    </row>
    <row r="1322" spans="24:24" x14ac:dyDescent="0.2">
      <c r="X1322" s="88"/>
    </row>
    <row r="1323" spans="24:24" x14ac:dyDescent="0.2">
      <c r="X1323" s="88"/>
    </row>
    <row r="1324" spans="24:24" x14ac:dyDescent="0.2">
      <c r="X1324" s="88"/>
    </row>
    <row r="1325" spans="24:24" x14ac:dyDescent="0.2">
      <c r="X1325" s="88"/>
    </row>
    <row r="1326" spans="24:24" x14ac:dyDescent="0.2">
      <c r="X1326" s="88"/>
    </row>
    <row r="1327" spans="24:24" x14ac:dyDescent="0.2">
      <c r="X1327" s="88"/>
    </row>
    <row r="1328" spans="24:24" x14ac:dyDescent="0.2">
      <c r="X1328" s="88"/>
    </row>
    <row r="1329" spans="24:24" x14ac:dyDescent="0.2">
      <c r="X1329" s="88"/>
    </row>
    <row r="1330" spans="24:24" x14ac:dyDescent="0.2">
      <c r="X1330" s="88"/>
    </row>
    <row r="1331" spans="24:24" x14ac:dyDescent="0.2">
      <c r="X1331" s="88"/>
    </row>
    <row r="1332" spans="24:24" x14ac:dyDescent="0.2">
      <c r="X1332" s="88"/>
    </row>
    <row r="1333" spans="24:24" x14ac:dyDescent="0.2">
      <c r="X1333" s="88"/>
    </row>
    <row r="1334" spans="24:24" x14ac:dyDescent="0.2">
      <c r="X1334" s="88"/>
    </row>
    <row r="1335" spans="24:24" x14ac:dyDescent="0.2">
      <c r="X1335" s="88"/>
    </row>
    <row r="1336" spans="24:24" x14ac:dyDescent="0.2">
      <c r="X1336" s="88"/>
    </row>
    <row r="1337" spans="24:24" x14ac:dyDescent="0.2">
      <c r="X1337" s="88"/>
    </row>
    <row r="1338" spans="24:24" x14ac:dyDescent="0.2">
      <c r="X1338" s="88"/>
    </row>
    <row r="1339" spans="24:24" x14ac:dyDescent="0.2">
      <c r="X1339" s="88"/>
    </row>
    <row r="1340" spans="24:24" x14ac:dyDescent="0.2">
      <c r="X1340" s="88"/>
    </row>
    <row r="1341" spans="24:24" x14ac:dyDescent="0.2">
      <c r="X1341" s="88"/>
    </row>
    <row r="1342" spans="24:24" x14ac:dyDescent="0.2">
      <c r="X1342" s="88"/>
    </row>
    <row r="1343" spans="24:24" x14ac:dyDescent="0.2">
      <c r="X1343" s="88"/>
    </row>
    <row r="1344" spans="24:24" x14ac:dyDescent="0.2">
      <c r="X1344" s="88"/>
    </row>
    <row r="1345" spans="24:24" x14ac:dyDescent="0.2">
      <c r="X1345" s="88"/>
    </row>
    <row r="1346" spans="24:24" x14ac:dyDescent="0.2">
      <c r="X1346" s="88"/>
    </row>
    <row r="1347" spans="24:24" x14ac:dyDescent="0.2">
      <c r="X1347" s="88"/>
    </row>
    <row r="1348" spans="24:24" x14ac:dyDescent="0.2">
      <c r="X1348" s="88"/>
    </row>
    <row r="1349" spans="24:24" x14ac:dyDescent="0.2">
      <c r="X1349" s="88"/>
    </row>
    <row r="1350" spans="24:24" x14ac:dyDescent="0.2">
      <c r="X1350" s="88"/>
    </row>
    <row r="1351" spans="24:24" x14ac:dyDescent="0.2">
      <c r="X1351" s="88"/>
    </row>
    <row r="1352" spans="24:24" x14ac:dyDescent="0.2">
      <c r="X1352" s="88"/>
    </row>
    <row r="1353" spans="24:24" x14ac:dyDescent="0.2">
      <c r="X1353" s="88"/>
    </row>
    <row r="1354" spans="24:24" x14ac:dyDescent="0.2">
      <c r="X1354" s="88"/>
    </row>
    <row r="1355" spans="24:24" x14ac:dyDescent="0.2">
      <c r="X1355" s="88"/>
    </row>
    <row r="1356" spans="24:24" x14ac:dyDescent="0.2">
      <c r="X1356" s="88"/>
    </row>
    <row r="1357" spans="24:24" x14ac:dyDescent="0.2">
      <c r="X1357" s="88"/>
    </row>
    <row r="1358" spans="24:24" x14ac:dyDescent="0.2">
      <c r="X1358" s="88"/>
    </row>
    <row r="1359" spans="24:24" x14ac:dyDescent="0.2">
      <c r="X1359" s="88"/>
    </row>
    <row r="1360" spans="24:24" x14ac:dyDescent="0.2">
      <c r="X1360" s="88"/>
    </row>
    <row r="1361" spans="24:24" x14ac:dyDescent="0.2">
      <c r="X1361" s="88"/>
    </row>
    <row r="1362" spans="24:24" x14ac:dyDescent="0.2">
      <c r="X1362" s="88"/>
    </row>
    <row r="1363" spans="24:24" x14ac:dyDescent="0.2">
      <c r="X1363" s="88"/>
    </row>
    <row r="1364" spans="24:24" x14ac:dyDescent="0.2">
      <c r="X1364" s="88"/>
    </row>
    <row r="1365" spans="24:24" x14ac:dyDescent="0.2">
      <c r="X1365" s="88"/>
    </row>
    <row r="1366" spans="24:24" x14ac:dyDescent="0.2">
      <c r="X1366" s="88"/>
    </row>
    <row r="1367" spans="24:24" x14ac:dyDescent="0.2">
      <c r="X1367" s="88"/>
    </row>
    <row r="1368" spans="24:24" x14ac:dyDescent="0.2">
      <c r="X1368" s="88"/>
    </row>
    <row r="1369" spans="24:24" x14ac:dyDescent="0.2">
      <c r="X1369" s="88"/>
    </row>
    <row r="1370" spans="24:24" x14ac:dyDescent="0.2">
      <c r="X1370" s="88"/>
    </row>
    <row r="1371" spans="24:24" x14ac:dyDescent="0.2">
      <c r="X1371" s="88"/>
    </row>
    <row r="1372" spans="24:24" x14ac:dyDescent="0.2">
      <c r="X1372" s="88"/>
    </row>
    <row r="1373" spans="24:24" x14ac:dyDescent="0.2">
      <c r="X1373" s="88"/>
    </row>
    <row r="1374" spans="24:24" x14ac:dyDescent="0.2">
      <c r="X1374" s="88"/>
    </row>
    <row r="1375" spans="24:24" x14ac:dyDescent="0.2">
      <c r="X1375" s="88"/>
    </row>
    <row r="1376" spans="24:24" x14ac:dyDescent="0.2">
      <c r="X1376" s="88"/>
    </row>
    <row r="1377" spans="24:24" x14ac:dyDescent="0.2">
      <c r="X1377" s="88"/>
    </row>
    <row r="1378" spans="24:24" x14ac:dyDescent="0.2">
      <c r="X1378" s="88"/>
    </row>
    <row r="1379" spans="24:24" x14ac:dyDescent="0.2">
      <c r="X1379" s="88"/>
    </row>
    <row r="1380" spans="24:24" x14ac:dyDescent="0.2">
      <c r="X1380" s="88"/>
    </row>
    <row r="1381" spans="24:24" x14ac:dyDescent="0.2">
      <c r="X1381" s="88"/>
    </row>
    <row r="1382" spans="24:24" x14ac:dyDescent="0.2">
      <c r="X1382" s="88"/>
    </row>
    <row r="1383" spans="24:24" x14ac:dyDescent="0.2">
      <c r="X1383" s="88"/>
    </row>
    <row r="1384" spans="24:24" x14ac:dyDescent="0.2">
      <c r="X1384" s="88"/>
    </row>
    <row r="1385" spans="24:24" x14ac:dyDescent="0.2">
      <c r="X1385" s="88"/>
    </row>
    <row r="1386" spans="24:24" x14ac:dyDescent="0.2">
      <c r="X1386" s="88"/>
    </row>
    <row r="1387" spans="24:24" x14ac:dyDescent="0.2">
      <c r="X1387" s="88"/>
    </row>
    <row r="1388" spans="24:24" x14ac:dyDescent="0.2">
      <c r="X1388" s="88"/>
    </row>
    <row r="1389" spans="24:24" x14ac:dyDescent="0.2">
      <c r="X1389" s="88"/>
    </row>
    <row r="1390" spans="24:24" x14ac:dyDescent="0.2">
      <c r="X1390" s="88"/>
    </row>
    <row r="1391" spans="24:24" x14ac:dyDescent="0.2">
      <c r="X1391" s="88"/>
    </row>
    <row r="1392" spans="24:24" x14ac:dyDescent="0.2">
      <c r="X1392" s="88"/>
    </row>
    <row r="1393" spans="24:24" x14ac:dyDescent="0.2">
      <c r="X1393" s="88"/>
    </row>
    <row r="1394" spans="24:24" x14ac:dyDescent="0.2">
      <c r="X1394" s="88"/>
    </row>
    <row r="1395" spans="24:24" x14ac:dyDescent="0.2">
      <c r="X1395" s="88"/>
    </row>
    <row r="1396" spans="24:24" x14ac:dyDescent="0.2">
      <c r="X1396" s="88"/>
    </row>
    <row r="1397" spans="24:24" x14ac:dyDescent="0.2">
      <c r="X1397" s="88"/>
    </row>
    <row r="1398" spans="24:24" x14ac:dyDescent="0.2">
      <c r="X1398" s="88"/>
    </row>
    <row r="1399" spans="24:24" x14ac:dyDescent="0.2">
      <c r="X1399" s="88"/>
    </row>
    <row r="1400" spans="24:24" x14ac:dyDescent="0.2">
      <c r="X1400" s="88"/>
    </row>
    <row r="1401" spans="24:24" x14ac:dyDescent="0.2">
      <c r="X1401" s="88"/>
    </row>
    <row r="1402" spans="24:24" x14ac:dyDescent="0.2">
      <c r="X1402" s="88"/>
    </row>
    <row r="1403" spans="24:24" x14ac:dyDescent="0.2">
      <c r="X1403" s="88"/>
    </row>
    <row r="1404" spans="24:24" x14ac:dyDescent="0.2">
      <c r="X1404" s="88"/>
    </row>
    <row r="1405" spans="24:24" x14ac:dyDescent="0.2">
      <c r="X1405" s="88"/>
    </row>
    <row r="1406" spans="24:24" x14ac:dyDescent="0.2">
      <c r="X1406" s="88"/>
    </row>
    <row r="1407" spans="24:24" x14ac:dyDescent="0.2">
      <c r="X1407" s="88"/>
    </row>
    <row r="1408" spans="24:24" x14ac:dyDescent="0.2">
      <c r="X1408" s="88"/>
    </row>
    <row r="1409" spans="24:24" x14ac:dyDescent="0.2">
      <c r="X1409" s="88"/>
    </row>
    <row r="1410" spans="24:24" x14ac:dyDescent="0.2">
      <c r="X1410" s="88"/>
    </row>
    <row r="1411" spans="24:24" x14ac:dyDescent="0.2">
      <c r="X1411" s="88"/>
    </row>
    <row r="1412" spans="24:24" x14ac:dyDescent="0.2">
      <c r="X1412" s="88"/>
    </row>
    <row r="1413" spans="24:24" x14ac:dyDescent="0.2">
      <c r="X1413" s="88"/>
    </row>
    <row r="1414" spans="24:24" x14ac:dyDescent="0.2">
      <c r="X1414" s="88"/>
    </row>
    <row r="1415" spans="24:24" x14ac:dyDescent="0.2">
      <c r="X1415" s="88"/>
    </row>
    <row r="1416" spans="24:24" x14ac:dyDescent="0.2">
      <c r="X1416" s="88"/>
    </row>
    <row r="1417" spans="24:24" x14ac:dyDescent="0.2">
      <c r="X1417" s="88"/>
    </row>
    <row r="1418" spans="24:24" x14ac:dyDescent="0.2">
      <c r="X1418" s="88"/>
    </row>
    <row r="1419" spans="24:24" x14ac:dyDescent="0.2">
      <c r="X1419" s="88"/>
    </row>
    <row r="1420" spans="24:24" x14ac:dyDescent="0.2">
      <c r="X1420" s="88"/>
    </row>
    <row r="1421" spans="24:24" x14ac:dyDescent="0.2">
      <c r="X1421" s="88"/>
    </row>
    <row r="1422" spans="24:24" x14ac:dyDescent="0.2">
      <c r="X1422" s="88"/>
    </row>
    <row r="1423" spans="24:24" x14ac:dyDescent="0.2">
      <c r="X1423" s="88"/>
    </row>
    <row r="1424" spans="24:24" x14ac:dyDescent="0.2">
      <c r="X1424" s="88"/>
    </row>
    <row r="1425" spans="24:24" x14ac:dyDescent="0.2">
      <c r="X1425" s="88"/>
    </row>
    <row r="1426" spans="24:24" x14ac:dyDescent="0.2">
      <c r="X1426" s="88"/>
    </row>
    <row r="1427" spans="24:24" x14ac:dyDescent="0.2">
      <c r="X1427" s="88"/>
    </row>
    <row r="1428" spans="24:24" x14ac:dyDescent="0.2">
      <c r="X1428" s="88"/>
    </row>
    <row r="1429" spans="24:24" x14ac:dyDescent="0.2">
      <c r="X1429" s="88"/>
    </row>
    <row r="1430" spans="24:24" x14ac:dyDescent="0.2">
      <c r="X1430" s="88"/>
    </row>
    <row r="1431" spans="24:24" x14ac:dyDescent="0.2">
      <c r="X1431" s="88"/>
    </row>
    <row r="1432" spans="24:24" x14ac:dyDescent="0.2">
      <c r="X1432" s="88"/>
    </row>
    <row r="1433" spans="24:24" x14ac:dyDescent="0.2">
      <c r="X1433" s="88"/>
    </row>
    <row r="1434" spans="24:24" x14ac:dyDescent="0.2">
      <c r="X1434" s="88"/>
    </row>
    <row r="1435" spans="24:24" x14ac:dyDescent="0.2">
      <c r="X1435" s="88"/>
    </row>
    <row r="1436" spans="24:24" x14ac:dyDescent="0.2">
      <c r="X1436" s="88"/>
    </row>
    <row r="1437" spans="24:24" x14ac:dyDescent="0.2">
      <c r="X1437" s="88"/>
    </row>
    <row r="1438" spans="24:24" x14ac:dyDescent="0.2">
      <c r="X1438" s="88"/>
    </row>
    <row r="1439" spans="24:24" x14ac:dyDescent="0.2">
      <c r="X1439" s="88"/>
    </row>
    <row r="1440" spans="24:24" x14ac:dyDescent="0.2">
      <c r="X1440" s="88"/>
    </row>
    <row r="1441" spans="24:24" x14ac:dyDescent="0.2">
      <c r="X1441" s="88"/>
    </row>
    <row r="1442" spans="24:24" x14ac:dyDescent="0.2">
      <c r="X1442" s="88"/>
    </row>
    <row r="1443" spans="24:24" x14ac:dyDescent="0.2">
      <c r="X1443" s="88"/>
    </row>
    <row r="1444" spans="24:24" x14ac:dyDescent="0.2">
      <c r="X1444" s="88"/>
    </row>
    <row r="1445" spans="24:24" x14ac:dyDescent="0.2">
      <c r="X1445" s="88"/>
    </row>
    <row r="1446" spans="24:24" x14ac:dyDescent="0.2">
      <c r="X1446" s="88"/>
    </row>
    <row r="1447" spans="24:24" x14ac:dyDescent="0.2">
      <c r="X1447" s="88"/>
    </row>
    <row r="1448" spans="24:24" x14ac:dyDescent="0.2">
      <c r="X1448" s="88"/>
    </row>
    <row r="1449" spans="24:24" x14ac:dyDescent="0.2">
      <c r="X1449" s="88"/>
    </row>
    <row r="1450" spans="24:24" x14ac:dyDescent="0.2">
      <c r="X1450" s="88"/>
    </row>
    <row r="1451" spans="24:24" x14ac:dyDescent="0.2">
      <c r="X1451" s="88"/>
    </row>
    <row r="1452" spans="24:24" x14ac:dyDescent="0.2">
      <c r="X1452" s="88"/>
    </row>
    <row r="1453" spans="24:24" x14ac:dyDescent="0.2">
      <c r="X1453" s="88"/>
    </row>
    <row r="1454" spans="24:24" x14ac:dyDescent="0.2">
      <c r="X1454" s="88"/>
    </row>
    <row r="1455" spans="24:24" x14ac:dyDescent="0.2">
      <c r="X1455" s="88"/>
    </row>
    <row r="1456" spans="24:24" x14ac:dyDescent="0.2">
      <c r="X1456" s="88"/>
    </row>
    <row r="1457" spans="24:24" x14ac:dyDescent="0.2">
      <c r="X1457" s="88"/>
    </row>
    <row r="1458" spans="24:24" x14ac:dyDescent="0.2">
      <c r="X1458" s="88"/>
    </row>
    <row r="1459" spans="24:24" x14ac:dyDescent="0.2">
      <c r="X1459" s="88"/>
    </row>
    <row r="1460" spans="24:24" x14ac:dyDescent="0.2">
      <c r="X1460" s="88"/>
    </row>
    <row r="1461" spans="24:24" x14ac:dyDescent="0.2">
      <c r="X1461" s="88"/>
    </row>
    <row r="1462" spans="24:24" x14ac:dyDescent="0.2">
      <c r="X1462" s="88"/>
    </row>
    <row r="1463" spans="24:24" x14ac:dyDescent="0.2">
      <c r="X1463" s="88"/>
    </row>
    <row r="1464" spans="24:24" x14ac:dyDescent="0.2">
      <c r="X1464" s="88"/>
    </row>
    <row r="1465" spans="24:24" x14ac:dyDescent="0.2">
      <c r="X1465" s="88"/>
    </row>
    <row r="1466" spans="24:24" x14ac:dyDescent="0.2">
      <c r="X1466" s="88"/>
    </row>
    <row r="1467" spans="24:24" x14ac:dyDescent="0.2">
      <c r="X1467" s="88"/>
    </row>
    <row r="1468" spans="24:24" x14ac:dyDescent="0.2">
      <c r="X1468" s="88"/>
    </row>
    <row r="1469" spans="24:24" x14ac:dyDescent="0.2">
      <c r="X1469" s="88"/>
    </row>
    <row r="1470" spans="24:24" x14ac:dyDescent="0.2">
      <c r="X1470" s="88"/>
    </row>
    <row r="1471" spans="24:24" x14ac:dyDescent="0.2">
      <c r="X1471" s="88"/>
    </row>
    <row r="1472" spans="24:24" x14ac:dyDescent="0.2">
      <c r="X1472" s="88"/>
    </row>
    <row r="1473" spans="24:24" x14ac:dyDescent="0.2">
      <c r="X1473" s="88"/>
    </row>
    <row r="1474" spans="24:24" x14ac:dyDescent="0.2">
      <c r="X1474" s="88"/>
    </row>
    <row r="1475" spans="24:24" x14ac:dyDescent="0.2">
      <c r="X1475" s="88"/>
    </row>
    <row r="1476" spans="24:24" x14ac:dyDescent="0.2">
      <c r="X1476" s="88"/>
    </row>
    <row r="1477" spans="24:24" x14ac:dyDescent="0.2">
      <c r="X1477" s="88"/>
    </row>
    <row r="1478" spans="24:24" x14ac:dyDescent="0.2">
      <c r="X1478" s="88"/>
    </row>
    <row r="1479" spans="24:24" x14ac:dyDescent="0.2">
      <c r="X1479" s="88"/>
    </row>
    <row r="1480" spans="24:24" x14ac:dyDescent="0.2">
      <c r="X1480" s="88"/>
    </row>
    <row r="1481" spans="24:24" x14ac:dyDescent="0.2">
      <c r="X1481" s="88"/>
    </row>
    <row r="1482" spans="24:24" x14ac:dyDescent="0.2">
      <c r="X1482" s="88"/>
    </row>
    <row r="1483" spans="24:24" x14ac:dyDescent="0.2">
      <c r="X1483" s="88"/>
    </row>
    <row r="1484" spans="24:24" x14ac:dyDescent="0.2">
      <c r="X1484" s="88"/>
    </row>
    <row r="1485" spans="24:24" x14ac:dyDescent="0.2">
      <c r="X1485" s="88"/>
    </row>
    <row r="1486" spans="24:24" x14ac:dyDescent="0.2">
      <c r="X1486" s="88"/>
    </row>
    <row r="1487" spans="24:24" x14ac:dyDescent="0.2">
      <c r="X1487" s="88"/>
    </row>
    <row r="1488" spans="24:24" x14ac:dyDescent="0.2">
      <c r="X1488" s="88"/>
    </row>
    <row r="1489" spans="24:24" x14ac:dyDescent="0.2">
      <c r="X1489" s="88"/>
    </row>
    <row r="1490" spans="24:24" x14ac:dyDescent="0.2">
      <c r="X1490" s="88"/>
    </row>
    <row r="1491" spans="24:24" x14ac:dyDescent="0.2">
      <c r="X1491" s="88"/>
    </row>
    <row r="1492" spans="24:24" x14ac:dyDescent="0.2">
      <c r="X1492" s="88"/>
    </row>
    <row r="1493" spans="24:24" x14ac:dyDescent="0.2">
      <c r="X1493" s="88"/>
    </row>
    <row r="1494" spans="24:24" x14ac:dyDescent="0.2">
      <c r="X1494" s="88"/>
    </row>
    <row r="1495" spans="24:24" x14ac:dyDescent="0.2">
      <c r="X1495" s="88"/>
    </row>
    <row r="1496" spans="24:24" x14ac:dyDescent="0.2">
      <c r="X1496" s="88"/>
    </row>
    <row r="1497" spans="24:24" x14ac:dyDescent="0.2">
      <c r="X1497" s="88"/>
    </row>
    <row r="1498" spans="24:24" x14ac:dyDescent="0.2">
      <c r="X1498" s="88"/>
    </row>
    <row r="1499" spans="24:24" x14ac:dyDescent="0.2">
      <c r="X1499" s="88"/>
    </row>
    <row r="1500" spans="24:24" x14ac:dyDescent="0.2">
      <c r="X1500" s="88"/>
    </row>
    <row r="1501" spans="24:24" x14ac:dyDescent="0.2">
      <c r="X1501" s="88"/>
    </row>
    <row r="1502" spans="24:24" x14ac:dyDescent="0.2">
      <c r="X1502" s="88"/>
    </row>
    <row r="1503" spans="24:24" x14ac:dyDescent="0.2">
      <c r="X1503" s="88"/>
    </row>
    <row r="1504" spans="24:24" x14ac:dyDescent="0.2">
      <c r="X1504" s="88"/>
    </row>
    <row r="1505" spans="24:24" x14ac:dyDescent="0.2">
      <c r="X1505" s="88"/>
    </row>
    <row r="1506" spans="24:24" x14ac:dyDescent="0.2">
      <c r="X1506" s="88"/>
    </row>
    <row r="1507" spans="24:24" x14ac:dyDescent="0.2">
      <c r="X1507" s="88"/>
    </row>
    <row r="1508" spans="24:24" x14ac:dyDescent="0.2">
      <c r="X1508" s="88"/>
    </row>
    <row r="1509" spans="24:24" x14ac:dyDescent="0.2">
      <c r="X1509" s="88"/>
    </row>
    <row r="1510" spans="24:24" x14ac:dyDescent="0.2">
      <c r="X1510" s="88"/>
    </row>
    <row r="1511" spans="24:24" x14ac:dyDescent="0.2">
      <c r="X1511" s="88"/>
    </row>
    <row r="1512" spans="24:24" x14ac:dyDescent="0.2">
      <c r="X1512" s="88"/>
    </row>
    <row r="1513" spans="24:24" x14ac:dyDescent="0.2">
      <c r="X1513" s="88"/>
    </row>
    <row r="1514" spans="24:24" x14ac:dyDescent="0.2">
      <c r="X1514" s="88"/>
    </row>
    <row r="1515" spans="24:24" x14ac:dyDescent="0.2">
      <c r="X1515" s="88"/>
    </row>
    <row r="1516" spans="24:24" x14ac:dyDescent="0.2">
      <c r="X1516" s="88"/>
    </row>
    <row r="1517" spans="24:24" x14ac:dyDescent="0.2">
      <c r="X1517" s="88"/>
    </row>
    <row r="1518" spans="24:24" x14ac:dyDescent="0.2">
      <c r="X1518" s="88"/>
    </row>
    <row r="1519" spans="24:24" x14ac:dyDescent="0.2">
      <c r="X1519" s="88"/>
    </row>
    <row r="1520" spans="24:24" x14ac:dyDescent="0.2">
      <c r="X1520" s="88"/>
    </row>
    <row r="1521" spans="24:24" x14ac:dyDescent="0.2">
      <c r="X1521" s="88"/>
    </row>
    <row r="1522" spans="24:24" x14ac:dyDescent="0.2">
      <c r="X1522" s="88"/>
    </row>
    <row r="1523" spans="24:24" x14ac:dyDescent="0.2">
      <c r="X1523" s="88"/>
    </row>
    <row r="1524" spans="24:24" x14ac:dyDescent="0.2">
      <c r="X1524" s="88"/>
    </row>
    <row r="1525" spans="24:24" x14ac:dyDescent="0.2">
      <c r="X1525" s="88"/>
    </row>
    <row r="1526" spans="24:24" x14ac:dyDescent="0.2">
      <c r="X1526" s="88"/>
    </row>
    <row r="1527" spans="24:24" x14ac:dyDescent="0.2">
      <c r="X1527" s="88"/>
    </row>
    <row r="1528" spans="24:24" x14ac:dyDescent="0.2">
      <c r="X1528" s="88"/>
    </row>
    <row r="1529" spans="24:24" x14ac:dyDescent="0.2">
      <c r="X1529" s="88"/>
    </row>
    <row r="1530" spans="24:24" x14ac:dyDescent="0.2">
      <c r="X1530" s="88"/>
    </row>
    <row r="1531" spans="24:24" x14ac:dyDescent="0.2">
      <c r="X1531" s="88"/>
    </row>
    <row r="1532" spans="24:24" x14ac:dyDescent="0.2">
      <c r="X1532" s="88"/>
    </row>
    <row r="1533" spans="24:24" x14ac:dyDescent="0.2">
      <c r="X1533" s="88"/>
    </row>
    <row r="1534" spans="24:24" x14ac:dyDescent="0.2">
      <c r="X1534" s="88"/>
    </row>
    <row r="1535" spans="24:24" x14ac:dyDescent="0.2">
      <c r="X1535" s="88"/>
    </row>
    <row r="1536" spans="24:24" x14ac:dyDescent="0.2">
      <c r="X1536" s="88"/>
    </row>
    <row r="1537" spans="24:24" x14ac:dyDescent="0.2">
      <c r="X1537" s="88"/>
    </row>
    <row r="1538" spans="24:24" x14ac:dyDescent="0.2">
      <c r="X1538" s="88"/>
    </row>
    <row r="1539" spans="24:24" x14ac:dyDescent="0.2">
      <c r="X1539" s="88"/>
    </row>
    <row r="1540" spans="24:24" x14ac:dyDescent="0.2">
      <c r="X1540" s="88"/>
    </row>
    <row r="1541" spans="24:24" x14ac:dyDescent="0.2">
      <c r="X1541" s="88"/>
    </row>
    <row r="1542" spans="24:24" x14ac:dyDescent="0.2">
      <c r="X1542" s="88"/>
    </row>
    <row r="1543" spans="24:24" x14ac:dyDescent="0.2">
      <c r="X1543" s="88"/>
    </row>
    <row r="1544" spans="24:24" x14ac:dyDescent="0.2">
      <c r="X1544" s="88"/>
    </row>
    <row r="1545" spans="24:24" x14ac:dyDescent="0.2">
      <c r="X1545" s="88"/>
    </row>
    <row r="1546" spans="24:24" x14ac:dyDescent="0.2">
      <c r="X1546" s="88"/>
    </row>
    <row r="1547" spans="24:24" x14ac:dyDescent="0.2">
      <c r="X1547" s="88"/>
    </row>
    <row r="1548" spans="24:24" x14ac:dyDescent="0.2">
      <c r="X1548" s="88"/>
    </row>
    <row r="1549" spans="24:24" x14ac:dyDescent="0.2">
      <c r="X1549" s="88"/>
    </row>
    <row r="1550" spans="24:24" x14ac:dyDescent="0.2">
      <c r="X1550" s="88"/>
    </row>
    <row r="1551" spans="24:24" x14ac:dyDescent="0.2">
      <c r="X1551" s="88"/>
    </row>
    <row r="1552" spans="24:24" x14ac:dyDescent="0.2">
      <c r="X1552" s="88"/>
    </row>
    <row r="1553" spans="24:24" x14ac:dyDescent="0.2">
      <c r="X1553" s="88"/>
    </row>
    <row r="1554" spans="24:24" x14ac:dyDescent="0.2">
      <c r="X1554" s="88"/>
    </row>
    <row r="1555" spans="24:24" x14ac:dyDescent="0.2">
      <c r="X1555" s="88"/>
    </row>
    <row r="1556" spans="24:24" x14ac:dyDescent="0.2">
      <c r="X1556" s="88"/>
    </row>
    <row r="1557" spans="24:24" x14ac:dyDescent="0.2">
      <c r="X1557" s="88"/>
    </row>
    <row r="1558" spans="24:24" x14ac:dyDescent="0.2">
      <c r="X1558" s="88"/>
    </row>
    <row r="1559" spans="24:24" x14ac:dyDescent="0.2">
      <c r="X1559" s="88"/>
    </row>
    <row r="1560" spans="24:24" x14ac:dyDescent="0.2">
      <c r="X1560" s="88"/>
    </row>
    <row r="1561" spans="24:24" x14ac:dyDescent="0.2">
      <c r="X1561" s="88"/>
    </row>
    <row r="1562" spans="24:24" x14ac:dyDescent="0.2">
      <c r="X1562" s="88"/>
    </row>
    <row r="1563" spans="24:24" x14ac:dyDescent="0.2">
      <c r="X1563" s="88"/>
    </row>
    <row r="1564" spans="24:24" x14ac:dyDescent="0.2">
      <c r="X1564" s="88"/>
    </row>
    <row r="1565" spans="24:24" x14ac:dyDescent="0.2">
      <c r="X1565" s="88"/>
    </row>
    <row r="1566" spans="24:24" x14ac:dyDescent="0.2">
      <c r="X1566" s="88"/>
    </row>
    <row r="1567" spans="24:24" x14ac:dyDescent="0.2">
      <c r="X1567" s="88"/>
    </row>
    <row r="1568" spans="24:24" x14ac:dyDescent="0.2">
      <c r="X1568" s="88"/>
    </row>
    <row r="1569" spans="24:24" x14ac:dyDescent="0.2">
      <c r="X1569" s="88"/>
    </row>
    <row r="1570" spans="24:24" x14ac:dyDescent="0.2">
      <c r="X1570" s="88"/>
    </row>
    <row r="1571" spans="24:24" x14ac:dyDescent="0.2">
      <c r="X1571" s="88"/>
    </row>
    <row r="1572" spans="24:24" x14ac:dyDescent="0.2">
      <c r="X1572" s="88"/>
    </row>
    <row r="1573" spans="24:24" x14ac:dyDescent="0.2">
      <c r="X1573" s="88"/>
    </row>
    <row r="1574" spans="24:24" x14ac:dyDescent="0.2">
      <c r="X1574" s="88"/>
    </row>
    <row r="1575" spans="24:24" x14ac:dyDescent="0.2">
      <c r="X1575" s="88"/>
    </row>
    <row r="1576" spans="24:24" x14ac:dyDescent="0.2">
      <c r="X1576" s="88"/>
    </row>
    <row r="1577" spans="24:24" x14ac:dyDescent="0.2">
      <c r="X1577" s="88"/>
    </row>
    <row r="1578" spans="24:24" x14ac:dyDescent="0.2">
      <c r="X1578" s="88"/>
    </row>
    <row r="1579" spans="24:24" x14ac:dyDescent="0.2">
      <c r="X1579" s="88"/>
    </row>
    <row r="1580" spans="24:24" x14ac:dyDescent="0.2">
      <c r="X1580" s="88"/>
    </row>
    <row r="1581" spans="24:24" x14ac:dyDescent="0.2">
      <c r="X1581" s="88"/>
    </row>
    <row r="1582" spans="24:24" x14ac:dyDescent="0.2">
      <c r="X1582" s="88"/>
    </row>
    <row r="1583" spans="24:24" x14ac:dyDescent="0.2">
      <c r="X1583" s="88"/>
    </row>
    <row r="1584" spans="24:24" x14ac:dyDescent="0.2">
      <c r="X1584" s="88"/>
    </row>
    <row r="1585" spans="24:24" x14ac:dyDescent="0.2">
      <c r="X1585" s="88"/>
    </row>
    <row r="1586" spans="24:24" x14ac:dyDescent="0.2">
      <c r="X1586" s="88"/>
    </row>
    <row r="1587" spans="24:24" x14ac:dyDescent="0.2">
      <c r="X1587" s="88"/>
    </row>
    <row r="1588" spans="24:24" x14ac:dyDescent="0.2">
      <c r="X1588" s="88"/>
    </row>
    <row r="1589" spans="24:24" x14ac:dyDescent="0.2">
      <c r="X1589" s="88"/>
    </row>
    <row r="1590" spans="24:24" x14ac:dyDescent="0.2">
      <c r="X1590" s="88"/>
    </row>
    <row r="1591" spans="24:24" x14ac:dyDescent="0.2">
      <c r="X1591" s="88"/>
    </row>
    <row r="1592" spans="24:24" x14ac:dyDescent="0.2">
      <c r="X1592" s="88"/>
    </row>
    <row r="1593" spans="24:24" x14ac:dyDescent="0.2">
      <c r="X1593" s="88"/>
    </row>
    <row r="1594" spans="24:24" x14ac:dyDescent="0.2">
      <c r="X1594" s="88"/>
    </row>
    <row r="1595" spans="24:24" x14ac:dyDescent="0.2">
      <c r="X1595" s="88"/>
    </row>
    <row r="1596" spans="24:24" x14ac:dyDescent="0.2">
      <c r="X1596" s="88"/>
    </row>
    <row r="1597" spans="24:24" x14ac:dyDescent="0.2">
      <c r="X1597" s="88"/>
    </row>
    <row r="1598" spans="24:24" x14ac:dyDescent="0.2">
      <c r="X1598" s="88"/>
    </row>
    <row r="1599" spans="24:24" x14ac:dyDescent="0.2">
      <c r="X1599" s="88"/>
    </row>
    <row r="1600" spans="24:24" x14ac:dyDescent="0.2">
      <c r="X1600" s="88"/>
    </row>
    <row r="1601" spans="24:24" x14ac:dyDescent="0.2">
      <c r="X1601" s="88"/>
    </row>
    <row r="1602" spans="24:24" x14ac:dyDescent="0.2">
      <c r="X1602" s="88"/>
    </row>
    <row r="1603" spans="24:24" x14ac:dyDescent="0.2">
      <c r="X1603" s="88"/>
    </row>
    <row r="1604" spans="24:24" x14ac:dyDescent="0.2">
      <c r="X1604" s="88"/>
    </row>
    <row r="1605" spans="24:24" x14ac:dyDescent="0.2">
      <c r="X1605" s="88"/>
    </row>
    <row r="1606" spans="24:24" x14ac:dyDescent="0.2">
      <c r="X1606" s="88"/>
    </row>
    <row r="1607" spans="24:24" x14ac:dyDescent="0.2">
      <c r="X1607" s="88"/>
    </row>
    <row r="1608" spans="24:24" x14ac:dyDescent="0.2">
      <c r="X1608" s="88"/>
    </row>
    <row r="1609" spans="24:24" x14ac:dyDescent="0.2">
      <c r="X1609" s="88"/>
    </row>
    <row r="1610" spans="24:24" x14ac:dyDescent="0.2">
      <c r="X1610" s="88"/>
    </row>
    <row r="1611" spans="24:24" x14ac:dyDescent="0.2">
      <c r="X1611" s="88"/>
    </row>
    <row r="1612" spans="24:24" x14ac:dyDescent="0.2">
      <c r="X1612" s="88"/>
    </row>
    <row r="1613" spans="24:24" x14ac:dyDescent="0.2">
      <c r="X1613" s="88"/>
    </row>
    <row r="1614" spans="24:24" x14ac:dyDescent="0.2">
      <c r="X1614" s="88"/>
    </row>
    <row r="1615" spans="24:24" x14ac:dyDescent="0.2">
      <c r="X1615" s="88"/>
    </row>
    <row r="1616" spans="24:24" x14ac:dyDescent="0.2">
      <c r="X1616" s="88"/>
    </row>
    <row r="1617" spans="24:24" x14ac:dyDescent="0.2">
      <c r="X1617" s="88"/>
    </row>
    <row r="1618" spans="24:24" x14ac:dyDescent="0.2">
      <c r="X1618" s="88"/>
    </row>
    <row r="1619" spans="24:24" x14ac:dyDescent="0.2">
      <c r="X1619" s="88"/>
    </row>
    <row r="1620" spans="24:24" x14ac:dyDescent="0.2">
      <c r="X1620" s="88"/>
    </row>
    <row r="1621" spans="24:24" x14ac:dyDescent="0.2">
      <c r="X1621" s="88"/>
    </row>
    <row r="1622" spans="24:24" x14ac:dyDescent="0.2">
      <c r="X1622" s="88"/>
    </row>
    <row r="1623" spans="24:24" x14ac:dyDescent="0.2">
      <c r="X1623" s="88"/>
    </row>
    <row r="1624" spans="24:24" x14ac:dyDescent="0.2">
      <c r="X1624" s="88"/>
    </row>
    <row r="1625" spans="24:24" x14ac:dyDescent="0.2">
      <c r="X1625" s="88"/>
    </row>
    <row r="1626" spans="24:24" x14ac:dyDescent="0.2">
      <c r="X1626" s="88"/>
    </row>
    <row r="1627" spans="24:24" x14ac:dyDescent="0.2">
      <c r="X1627" s="88"/>
    </row>
    <row r="1628" spans="24:24" x14ac:dyDescent="0.2">
      <c r="X1628" s="88"/>
    </row>
    <row r="1629" spans="24:24" x14ac:dyDescent="0.2">
      <c r="X1629" s="88"/>
    </row>
    <row r="1630" spans="24:24" x14ac:dyDescent="0.2">
      <c r="X1630" s="88"/>
    </row>
    <row r="1631" spans="24:24" x14ac:dyDescent="0.2">
      <c r="X1631" s="88"/>
    </row>
    <row r="1632" spans="24:24" x14ac:dyDescent="0.2">
      <c r="X1632" s="88"/>
    </row>
    <row r="1633" spans="24:24" x14ac:dyDescent="0.2">
      <c r="X1633" s="88"/>
    </row>
    <row r="1634" spans="24:24" x14ac:dyDescent="0.2">
      <c r="X1634" s="88"/>
    </row>
    <row r="1635" spans="24:24" x14ac:dyDescent="0.2">
      <c r="X1635" s="88"/>
    </row>
    <row r="1636" spans="24:24" x14ac:dyDescent="0.2">
      <c r="X1636" s="88"/>
    </row>
    <row r="1637" spans="24:24" x14ac:dyDescent="0.2">
      <c r="X1637" s="88"/>
    </row>
    <row r="1638" spans="24:24" x14ac:dyDescent="0.2">
      <c r="X1638" s="88"/>
    </row>
    <row r="1639" spans="24:24" x14ac:dyDescent="0.2">
      <c r="X1639" s="88"/>
    </row>
    <row r="1640" spans="24:24" x14ac:dyDescent="0.2">
      <c r="X1640" s="88"/>
    </row>
    <row r="1641" spans="24:24" x14ac:dyDescent="0.2">
      <c r="X1641" s="88"/>
    </row>
    <row r="1642" spans="24:24" x14ac:dyDescent="0.2">
      <c r="X1642" s="88"/>
    </row>
    <row r="1643" spans="24:24" x14ac:dyDescent="0.2">
      <c r="X1643" s="88"/>
    </row>
    <row r="1644" spans="24:24" x14ac:dyDescent="0.2">
      <c r="X1644" s="88"/>
    </row>
    <row r="1645" spans="24:24" x14ac:dyDescent="0.2">
      <c r="X1645" s="88"/>
    </row>
    <row r="1646" spans="24:24" x14ac:dyDescent="0.2">
      <c r="X1646" s="88"/>
    </row>
    <row r="1647" spans="24:24" x14ac:dyDescent="0.2">
      <c r="X1647" s="88"/>
    </row>
    <row r="1648" spans="24:24" x14ac:dyDescent="0.2">
      <c r="X1648" s="88"/>
    </row>
    <row r="1649" spans="24:24" x14ac:dyDescent="0.2">
      <c r="X1649" s="88"/>
    </row>
    <row r="1650" spans="24:24" x14ac:dyDescent="0.2">
      <c r="X1650" s="88"/>
    </row>
    <row r="1651" spans="24:24" x14ac:dyDescent="0.2">
      <c r="X1651" s="88"/>
    </row>
    <row r="1652" spans="24:24" x14ac:dyDescent="0.2">
      <c r="X1652" s="88"/>
    </row>
    <row r="1653" spans="24:24" x14ac:dyDescent="0.2">
      <c r="X1653" s="88"/>
    </row>
    <row r="1654" spans="24:24" x14ac:dyDescent="0.2">
      <c r="X1654" s="88"/>
    </row>
    <row r="1655" spans="24:24" x14ac:dyDescent="0.2">
      <c r="X1655" s="88"/>
    </row>
    <row r="1656" spans="24:24" x14ac:dyDescent="0.2">
      <c r="X1656" s="88"/>
    </row>
    <row r="1657" spans="24:24" x14ac:dyDescent="0.2">
      <c r="X1657" s="88"/>
    </row>
    <row r="1658" spans="24:24" x14ac:dyDescent="0.2">
      <c r="X1658" s="88"/>
    </row>
    <row r="1659" spans="24:24" x14ac:dyDescent="0.2">
      <c r="X1659" s="88"/>
    </row>
    <row r="1660" spans="24:24" x14ac:dyDescent="0.2">
      <c r="X1660" s="88"/>
    </row>
    <row r="1661" spans="24:24" x14ac:dyDescent="0.2">
      <c r="X1661" s="88"/>
    </row>
    <row r="1662" spans="24:24" x14ac:dyDescent="0.2">
      <c r="X1662" s="88"/>
    </row>
    <row r="1663" spans="24:24" x14ac:dyDescent="0.2">
      <c r="X1663" s="88"/>
    </row>
    <row r="1664" spans="24:24" x14ac:dyDescent="0.2">
      <c r="X1664" s="88"/>
    </row>
    <row r="1665" spans="24:24" x14ac:dyDescent="0.2">
      <c r="X1665" s="88"/>
    </row>
    <row r="1666" spans="24:24" x14ac:dyDescent="0.2">
      <c r="X1666" s="88"/>
    </row>
    <row r="1667" spans="24:24" x14ac:dyDescent="0.2">
      <c r="X1667" s="88"/>
    </row>
    <row r="1668" spans="24:24" x14ac:dyDescent="0.2">
      <c r="X1668" s="88"/>
    </row>
    <row r="1669" spans="24:24" x14ac:dyDescent="0.2">
      <c r="X1669" s="88"/>
    </row>
    <row r="1670" spans="24:24" x14ac:dyDescent="0.2">
      <c r="X1670" s="88"/>
    </row>
    <row r="1671" spans="24:24" x14ac:dyDescent="0.2">
      <c r="X1671" s="88"/>
    </row>
    <row r="1672" spans="24:24" x14ac:dyDescent="0.2">
      <c r="X1672" s="88"/>
    </row>
    <row r="1673" spans="24:24" x14ac:dyDescent="0.2">
      <c r="X1673" s="88"/>
    </row>
    <row r="1674" spans="24:24" x14ac:dyDescent="0.2">
      <c r="X1674" s="88"/>
    </row>
    <row r="1675" spans="24:24" x14ac:dyDescent="0.2">
      <c r="X1675" s="88"/>
    </row>
    <row r="1676" spans="24:24" x14ac:dyDescent="0.2">
      <c r="X1676" s="88"/>
    </row>
    <row r="1677" spans="24:24" x14ac:dyDescent="0.2">
      <c r="X1677" s="88"/>
    </row>
    <row r="1678" spans="24:24" x14ac:dyDescent="0.2">
      <c r="X1678" s="88"/>
    </row>
    <row r="1679" spans="24:24" x14ac:dyDescent="0.2">
      <c r="X1679" s="88"/>
    </row>
    <row r="1680" spans="24:24" x14ac:dyDescent="0.2">
      <c r="X1680" s="88"/>
    </row>
    <row r="1681" spans="24:24" x14ac:dyDescent="0.2">
      <c r="X1681" s="88"/>
    </row>
    <row r="1682" spans="24:24" x14ac:dyDescent="0.2">
      <c r="X1682" s="88"/>
    </row>
    <row r="1683" spans="24:24" x14ac:dyDescent="0.2">
      <c r="X1683" s="88"/>
    </row>
    <row r="1684" spans="24:24" x14ac:dyDescent="0.2">
      <c r="X1684" s="88"/>
    </row>
    <row r="1685" spans="24:24" x14ac:dyDescent="0.2">
      <c r="X1685" s="88"/>
    </row>
    <row r="1686" spans="24:24" x14ac:dyDescent="0.2">
      <c r="X1686" s="88"/>
    </row>
    <row r="1687" spans="24:24" x14ac:dyDescent="0.2">
      <c r="X1687" s="88"/>
    </row>
    <row r="1688" spans="24:24" x14ac:dyDescent="0.2">
      <c r="X1688" s="88"/>
    </row>
    <row r="1689" spans="24:24" x14ac:dyDescent="0.2">
      <c r="X1689" s="88"/>
    </row>
    <row r="1690" spans="24:24" x14ac:dyDescent="0.2">
      <c r="X1690" s="88"/>
    </row>
    <row r="1691" spans="24:24" x14ac:dyDescent="0.2">
      <c r="X1691" s="88"/>
    </row>
    <row r="1692" spans="24:24" x14ac:dyDescent="0.2">
      <c r="X1692" s="88"/>
    </row>
    <row r="1693" spans="24:24" x14ac:dyDescent="0.2">
      <c r="X1693" s="88"/>
    </row>
    <row r="1694" spans="24:24" x14ac:dyDescent="0.2">
      <c r="X1694" s="88"/>
    </row>
    <row r="1695" spans="24:24" x14ac:dyDescent="0.2">
      <c r="X1695" s="88"/>
    </row>
    <row r="1696" spans="24:24" x14ac:dyDescent="0.2">
      <c r="X1696" s="88"/>
    </row>
    <row r="1697" spans="24:24" x14ac:dyDescent="0.2">
      <c r="X1697" s="88"/>
    </row>
    <row r="1698" spans="24:24" x14ac:dyDescent="0.2">
      <c r="X1698" s="88"/>
    </row>
    <row r="1699" spans="24:24" x14ac:dyDescent="0.2">
      <c r="X1699" s="88"/>
    </row>
    <row r="1700" spans="24:24" x14ac:dyDescent="0.2">
      <c r="X1700" s="88"/>
    </row>
    <row r="1701" spans="24:24" x14ac:dyDescent="0.2">
      <c r="X1701" s="88"/>
    </row>
    <row r="1702" spans="24:24" x14ac:dyDescent="0.2">
      <c r="X1702" s="88"/>
    </row>
    <row r="1703" spans="24:24" x14ac:dyDescent="0.2">
      <c r="X1703" s="88"/>
    </row>
    <row r="1704" spans="24:24" x14ac:dyDescent="0.2">
      <c r="X1704" s="88"/>
    </row>
    <row r="1705" spans="24:24" x14ac:dyDescent="0.2">
      <c r="X1705" s="88"/>
    </row>
    <row r="1706" spans="24:24" x14ac:dyDescent="0.2">
      <c r="X1706" s="88"/>
    </row>
    <row r="1707" spans="24:24" x14ac:dyDescent="0.2">
      <c r="X1707" s="88"/>
    </row>
    <row r="1708" spans="24:24" x14ac:dyDescent="0.2">
      <c r="X1708" s="88"/>
    </row>
    <row r="1709" spans="24:24" x14ac:dyDescent="0.2">
      <c r="X1709" s="88"/>
    </row>
    <row r="1710" spans="24:24" x14ac:dyDescent="0.2">
      <c r="X1710" s="88"/>
    </row>
    <row r="1711" spans="24:24" x14ac:dyDescent="0.2">
      <c r="X1711" s="88"/>
    </row>
    <row r="1712" spans="24:24" x14ac:dyDescent="0.2">
      <c r="X1712" s="88"/>
    </row>
    <row r="1713" spans="24:24" x14ac:dyDescent="0.2">
      <c r="X1713" s="88"/>
    </row>
    <row r="1714" spans="24:24" x14ac:dyDescent="0.2">
      <c r="X1714" s="88"/>
    </row>
    <row r="1715" spans="24:24" x14ac:dyDescent="0.2">
      <c r="X1715" s="88"/>
    </row>
    <row r="1716" spans="24:24" x14ac:dyDescent="0.2">
      <c r="X1716" s="88"/>
    </row>
    <row r="1717" spans="24:24" x14ac:dyDescent="0.2">
      <c r="X1717" s="88"/>
    </row>
    <row r="1718" spans="24:24" x14ac:dyDescent="0.2">
      <c r="X1718" s="88"/>
    </row>
    <row r="1719" spans="24:24" x14ac:dyDescent="0.2">
      <c r="X1719" s="88"/>
    </row>
    <row r="1720" spans="24:24" x14ac:dyDescent="0.2">
      <c r="X1720" s="88"/>
    </row>
    <row r="1721" spans="24:24" x14ac:dyDescent="0.2">
      <c r="X1721" s="88"/>
    </row>
    <row r="1722" spans="24:24" x14ac:dyDescent="0.2">
      <c r="X1722" s="88"/>
    </row>
    <row r="1723" spans="24:24" x14ac:dyDescent="0.2">
      <c r="X1723" s="88"/>
    </row>
    <row r="1724" spans="24:24" x14ac:dyDescent="0.2">
      <c r="X1724" s="88"/>
    </row>
    <row r="1725" spans="24:24" x14ac:dyDescent="0.2">
      <c r="X1725" s="88"/>
    </row>
    <row r="1726" spans="24:24" x14ac:dyDescent="0.2">
      <c r="X1726" s="88"/>
    </row>
    <row r="1727" spans="24:24" x14ac:dyDescent="0.2">
      <c r="X1727" s="88"/>
    </row>
    <row r="1728" spans="24:24" x14ac:dyDescent="0.2">
      <c r="X1728" s="88"/>
    </row>
    <row r="1729" spans="24:24" x14ac:dyDescent="0.2">
      <c r="X1729" s="88"/>
    </row>
    <row r="1730" spans="24:24" x14ac:dyDescent="0.2">
      <c r="X1730" s="88"/>
    </row>
    <row r="1731" spans="24:24" x14ac:dyDescent="0.2">
      <c r="X1731" s="88"/>
    </row>
    <row r="1732" spans="24:24" x14ac:dyDescent="0.2">
      <c r="X1732" s="88"/>
    </row>
    <row r="1733" spans="24:24" x14ac:dyDescent="0.2">
      <c r="X1733" s="88"/>
    </row>
    <row r="1734" spans="24:24" x14ac:dyDescent="0.2">
      <c r="X1734" s="88"/>
    </row>
    <row r="1735" spans="24:24" x14ac:dyDescent="0.2">
      <c r="X1735" s="88"/>
    </row>
    <row r="1736" spans="24:24" x14ac:dyDescent="0.2">
      <c r="X1736" s="88"/>
    </row>
    <row r="1737" spans="24:24" x14ac:dyDescent="0.2">
      <c r="X1737" s="88"/>
    </row>
    <row r="1738" spans="24:24" x14ac:dyDescent="0.2">
      <c r="X1738" s="88"/>
    </row>
    <row r="1739" spans="24:24" x14ac:dyDescent="0.2">
      <c r="X1739" s="88"/>
    </row>
    <row r="1740" spans="24:24" x14ac:dyDescent="0.2">
      <c r="X1740" s="88"/>
    </row>
    <row r="1741" spans="24:24" x14ac:dyDescent="0.2">
      <c r="X1741" s="88"/>
    </row>
    <row r="1742" spans="24:24" x14ac:dyDescent="0.2">
      <c r="X1742" s="88"/>
    </row>
    <row r="1743" spans="24:24" x14ac:dyDescent="0.2">
      <c r="X1743" s="88"/>
    </row>
    <row r="1744" spans="24:24" x14ac:dyDescent="0.2">
      <c r="X1744" s="88"/>
    </row>
    <row r="1745" spans="24:24" x14ac:dyDescent="0.2">
      <c r="X1745" s="88"/>
    </row>
    <row r="1746" spans="24:24" x14ac:dyDescent="0.2">
      <c r="X1746" s="88"/>
    </row>
    <row r="1747" spans="24:24" x14ac:dyDescent="0.2">
      <c r="X1747" s="88"/>
    </row>
    <row r="1748" spans="24:24" x14ac:dyDescent="0.2">
      <c r="X1748" s="88"/>
    </row>
    <row r="1749" spans="24:24" x14ac:dyDescent="0.2">
      <c r="X1749" s="88"/>
    </row>
    <row r="1750" spans="24:24" x14ac:dyDescent="0.2">
      <c r="X1750" s="88"/>
    </row>
    <row r="1751" spans="24:24" x14ac:dyDescent="0.2">
      <c r="X1751" s="88"/>
    </row>
    <row r="1752" spans="24:24" x14ac:dyDescent="0.2">
      <c r="X1752" s="88"/>
    </row>
    <row r="1753" spans="24:24" x14ac:dyDescent="0.2">
      <c r="X1753" s="88"/>
    </row>
    <row r="1754" spans="24:24" x14ac:dyDescent="0.2">
      <c r="X1754" s="88"/>
    </row>
    <row r="1755" spans="24:24" x14ac:dyDescent="0.2">
      <c r="X1755" s="88"/>
    </row>
    <row r="1756" spans="24:24" x14ac:dyDescent="0.2">
      <c r="X1756" s="88"/>
    </row>
    <row r="1757" spans="24:24" x14ac:dyDescent="0.2">
      <c r="X1757" s="88"/>
    </row>
    <row r="1758" spans="24:24" x14ac:dyDescent="0.2">
      <c r="X1758" s="88"/>
    </row>
    <row r="1759" spans="24:24" x14ac:dyDescent="0.2">
      <c r="X1759" s="88"/>
    </row>
    <row r="1760" spans="24:24" x14ac:dyDescent="0.2">
      <c r="X1760" s="88"/>
    </row>
    <row r="1761" spans="24:24" x14ac:dyDescent="0.2">
      <c r="X1761" s="88"/>
    </row>
    <row r="1762" spans="24:24" x14ac:dyDescent="0.2">
      <c r="X1762" s="88"/>
    </row>
    <row r="1763" spans="24:24" x14ac:dyDescent="0.2">
      <c r="X1763" s="88"/>
    </row>
    <row r="1764" spans="24:24" x14ac:dyDescent="0.2">
      <c r="X1764" s="88"/>
    </row>
    <row r="1765" spans="24:24" x14ac:dyDescent="0.2">
      <c r="X1765" s="88"/>
    </row>
    <row r="1766" spans="24:24" x14ac:dyDescent="0.2">
      <c r="X1766" s="88"/>
    </row>
    <row r="1767" spans="24:24" x14ac:dyDescent="0.2">
      <c r="X1767" s="88"/>
    </row>
    <row r="1768" spans="24:24" x14ac:dyDescent="0.2">
      <c r="X1768" s="88"/>
    </row>
    <row r="1769" spans="24:24" x14ac:dyDescent="0.2">
      <c r="X1769" s="88"/>
    </row>
    <row r="1770" spans="24:24" x14ac:dyDescent="0.2">
      <c r="X1770" s="88"/>
    </row>
    <row r="1771" spans="24:24" x14ac:dyDescent="0.2">
      <c r="X1771" s="88"/>
    </row>
    <row r="1772" spans="24:24" x14ac:dyDescent="0.2">
      <c r="X1772" s="88"/>
    </row>
    <row r="1773" spans="24:24" x14ac:dyDescent="0.2">
      <c r="X1773" s="88"/>
    </row>
    <row r="1774" spans="24:24" x14ac:dyDescent="0.2">
      <c r="X1774" s="88"/>
    </row>
    <row r="1775" spans="24:24" x14ac:dyDescent="0.2">
      <c r="X1775" s="88"/>
    </row>
    <row r="1776" spans="24:24" x14ac:dyDescent="0.2">
      <c r="X1776" s="88"/>
    </row>
    <row r="1777" spans="24:24" x14ac:dyDescent="0.2">
      <c r="X1777" s="88"/>
    </row>
    <row r="1778" spans="24:24" x14ac:dyDescent="0.2">
      <c r="X1778" s="88"/>
    </row>
    <row r="1779" spans="24:24" x14ac:dyDescent="0.2">
      <c r="X1779" s="88"/>
    </row>
    <row r="1780" spans="24:24" x14ac:dyDescent="0.2">
      <c r="X1780" s="88"/>
    </row>
    <row r="1781" spans="24:24" x14ac:dyDescent="0.2">
      <c r="X1781" s="88"/>
    </row>
    <row r="1782" spans="24:24" x14ac:dyDescent="0.2">
      <c r="X1782" s="88"/>
    </row>
    <row r="1783" spans="24:24" x14ac:dyDescent="0.2">
      <c r="X1783" s="88"/>
    </row>
    <row r="1784" spans="24:24" x14ac:dyDescent="0.2">
      <c r="X1784" s="88"/>
    </row>
    <row r="1785" spans="24:24" x14ac:dyDescent="0.2">
      <c r="X1785" s="88"/>
    </row>
    <row r="1786" spans="24:24" x14ac:dyDescent="0.2">
      <c r="X1786" s="88"/>
    </row>
    <row r="1787" spans="24:24" x14ac:dyDescent="0.2">
      <c r="X1787" s="88"/>
    </row>
    <row r="1788" spans="24:24" x14ac:dyDescent="0.2">
      <c r="X1788" s="88"/>
    </row>
    <row r="1789" spans="24:24" x14ac:dyDescent="0.2">
      <c r="X1789" s="88"/>
    </row>
    <row r="1790" spans="24:24" x14ac:dyDescent="0.2">
      <c r="X1790" s="88"/>
    </row>
    <row r="1791" spans="24:24" x14ac:dyDescent="0.2">
      <c r="X1791" s="88"/>
    </row>
    <row r="1792" spans="24:24" x14ac:dyDescent="0.2">
      <c r="X1792" s="88"/>
    </row>
    <row r="1793" spans="24:24" x14ac:dyDescent="0.2">
      <c r="X1793" s="88"/>
    </row>
    <row r="1794" spans="24:24" x14ac:dyDescent="0.2">
      <c r="X1794" s="88"/>
    </row>
    <row r="1795" spans="24:24" x14ac:dyDescent="0.2">
      <c r="X1795" s="88"/>
    </row>
    <row r="1796" spans="24:24" x14ac:dyDescent="0.2">
      <c r="X1796" s="88"/>
    </row>
    <row r="1797" spans="24:24" x14ac:dyDescent="0.2">
      <c r="X1797" s="88"/>
    </row>
    <row r="1798" spans="24:24" x14ac:dyDescent="0.2">
      <c r="X1798" s="88"/>
    </row>
    <row r="1799" spans="24:24" x14ac:dyDescent="0.2">
      <c r="X1799" s="88"/>
    </row>
    <row r="1800" spans="24:24" x14ac:dyDescent="0.2">
      <c r="X1800" s="88"/>
    </row>
    <row r="1801" spans="24:24" x14ac:dyDescent="0.2">
      <c r="X1801" s="88"/>
    </row>
    <row r="1802" spans="24:24" x14ac:dyDescent="0.2">
      <c r="X1802" s="88"/>
    </row>
    <row r="1803" spans="24:24" x14ac:dyDescent="0.2">
      <c r="X1803" s="88"/>
    </row>
    <row r="1804" spans="24:24" x14ac:dyDescent="0.2">
      <c r="X1804" s="88"/>
    </row>
    <row r="1805" spans="24:24" x14ac:dyDescent="0.2">
      <c r="X1805" s="88"/>
    </row>
    <row r="1806" spans="24:24" x14ac:dyDescent="0.2">
      <c r="X1806" s="88"/>
    </row>
    <row r="1807" spans="24:24" x14ac:dyDescent="0.2">
      <c r="X1807" s="88"/>
    </row>
    <row r="1808" spans="24:24" x14ac:dyDescent="0.2">
      <c r="X1808" s="88"/>
    </row>
    <row r="1809" spans="24:24" x14ac:dyDescent="0.2">
      <c r="X1809" s="88"/>
    </row>
    <row r="1810" spans="24:24" x14ac:dyDescent="0.2">
      <c r="X1810" s="88"/>
    </row>
    <row r="1811" spans="24:24" x14ac:dyDescent="0.2">
      <c r="X1811" s="88"/>
    </row>
    <row r="1812" spans="24:24" x14ac:dyDescent="0.2">
      <c r="X1812" s="88"/>
    </row>
    <row r="1813" spans="24:24" x14ac:dyDescent="0.2">
      <c r="X1813" s="88"/>
    </row>
    <row r="1814" spans="24:24" x14ac:dyDescent="0.2">
      <c r="X1814" s="88"/>
    </row>
    <row r="1815" spans="24:24" x14ac:dyDescent="0.2">
      <c r="X1815" s="88"/>
    </row>
    <row r="1816" spans="24:24" x14ac:dyDescent="0.2">
      <c r="X1816" s="88"/>
    </row>
    <row r="1817" spans="24:24" x14ac:dyDescent="0.2">
      <c r="X1817" s="88"/>
    </row>
    <row r="1818" spans="24:24" x14ac:dyDescent="0.2">
      <c r="X1818" s="88"/>
    </row>
    <row r="1819" spans="24:24" x14ac:dyDescent="0.2">
      <c r="X1819" s="88"/>
    </row>
    <row r="1820" spans="24:24" x14ac:dyDescent="0.2">
      <c r="X1820" s="88"/>
    </row>
    <row r="1821" spans="24:24" x14ac:dyDescent="0.2">
      <c r="X1821" s="88"/>
    </row>
    <row r="1822" spans="24:24" x14ac:dyDescent="0.2">
      <c r="X1822" s="88"/>
    </row>
    <row r="1823" spans="24:24" x14ac:dyDescent="0.2">
      <c r="X1823" s="88"/>
    </row>
    <row r="1824" spans="24:24" x14ac:dyDescent="0.2">
      <c r="X1824" s="88"/>
    </row>
    <row r="1825" spans="24:24" x14ac:dyDescent="0.2">
      <c r="X1825" s="88"/>
    </row>
    <row r="1826" spans="24:24" x14ac:dyDescent="0.2">
      <c r="X1826" s="88"/>
    </row>
    <row r="1827" spans="24:24" x14ac:dyDescent="0.2">
      <c r="X1827" s="88"/>
    </row>
    <row r="1828" spans="24:24" x14ac:dyDescent="0.2">
      <c r="X1828" s="88"/>
    </row>
    <row r="1829" spans="24:24" x14ac:dyDescent="0.2">
      <c r="X1829" s="88"/>
    </row>
    <row r="1830" spans="24:24" x14ac:dyDescent="0.2">
      <c r="X1830" s="88"/>
    </row>
    <row r="1831" spans="24:24" x14ac:dyDescent="0.2">
      <c r="X1831" s="88"/>
    </row>
    <row r="1832" spans="24:24" x14ac:dyDescent="0.2">
      <c r="X1832" s="88"/>
    </row>
    <row r="1833" spans="24:24" x14ac:dyDescent="0.2">
      <c r="X1833" s="88"/>
    </row>
    <row r="1834" spans="24:24" x14ac:dyDescent="0.2">
      <c r="X1834" s="88"/>
    </row>
    <row r="1835" spans="24:24" x14ac:dyDescent="0.2">
      <c r="X1835" s="88"/>
    </row>
    <row r="1836" spans="24:24" x14ac:dyDescent="0.2">
      <c r="X1836" s="88"/>
    </row>
    <row r="1837" spans="24:24" x14ac:dyDescent="0.2">
      <c r="X1837" s="88"/>
    </row>
    <row r="1838" spans="24:24" x14ac:dyDescent="0.2">
      <c r="X1838" s="88"/>
    </row>
    <row r="1839" spans="24:24" x14ac:dyDescent="0.2">
      <c r="X1839" s="88"/>
    </row>
    <row r="1840" spans="24:24" x14ac:dyDescent="0.2">
      <c r="X1840" s="88"/>
    </row>
    <row r="1841" spans="24:24" x14ac:dyDescent="0.2">
      <c r="X1841" s="88"/>
    </row>
    <row r="1842" spans="24:24" x14ac:dyDescent="0.2">
      <c r="X1842" s="88"/>
    </row>
    <row r="1843" spans="24:24" x14ac:dyDescent="0.2">
      <c r="X1843" s="88"/>
    </row>
    <row r="1844" spans="24:24" x14ac:dyDescent="0.2">
      <c r="X1844" s="88"/>
    </row>
    <row r="1845" spans="24:24" x14ac:dyDescent="0.2">
      <c r="X1845" s="88"/>
    </row>
    <row r="1846" spans="24:24" x14ac:dyDescent="0.2">
      <c r="X1846" s="88"/>
    </row>
    <row r="1847" spans="24:24" x14ac:dyDescent="0.2">
      <c r="X1847" s="88"/>
    </row>
    <row r="1848" spans="24:24" x14ac:dyDescent="0.2">
      <c r="X1848" s="88"/>
    </row>
    <row r="1849" spans="24:24" x14ac:dyDescent="0.2">
      <c r="X1849" s="88"/>
    </row>
    <row r="1850" spans="24:24" x14ac:dyDescent="0.2">
      <c r="X1850" s="88"/>
    </row>
    <row r="1851" spans="24:24" x14ac:dyDescent="0.2">
      <c r="X1851" s="88"/>
    </row>
    <row r="1852" spans="24:24" x14ac:dyDescent="0.2">
      <c r="X1852" s="88"/>
    </row>
    <row r="1853" spans="24:24" x14ac:dyDescent="0.2">
      <c r="X1853" s="88"/>
    </row>
    <row r="1854" spans="24:24" x14ac:dyDescent="0.2">
      <c r="X1854" s="88"/>
    </row>
    <row r="1855" spans="24:24" x14ac:dyDescent="0.2">
      <c r="X1855" s="88"/>
    </row>
    <row r="1856" spans="24:24" x14ac:dyDescent="0.2">
      <c r="X1856" s="88"/>
    </row>
    <row r="1857" spans="24:24" x14ac:dyDescent="0.2">
      <c r="X1857" s="88"/>
    </row>
    <row r="1858" spans="24:24" x14ac:dyDescent="0.2">
      <c r="X1858" s="88"/>
    </row>
    <row r="1859" spans="24:24" x14ac:dyDescent="0.2">
      <c r="X1859" s="88"/>
    </row>
    <row r="1860" spans="24:24" x14ac:dyDescent="0.2">
      <c r="X1860" s="88"/>
    </row>
    <row r="1861" spans="24:24" x14ac:dyDescent="0.2">
      <c r="X1861" s="88"/>
    </row>
    <row r="1862" spans="24:24" x14ac:dyDescent="0.2">
      <c r="X1862" s="88"/>
    </row>
    <row r="1863" spans="24:24" x14ac:dyDescent="0.2">
      <c r="X1863" s="88"/>
    </row>
    <row r="1864" spans="24:24" x14ac:dyDescent="0.2">
      <c r="X1864" s="88"/>
    </row>
    <row r="1865" spans="24:24" x14ac:dyDescent="0.2">
      <c r="X1865" s="88"/>
    </row>
    <row r="1866" spans="24:24" x14ac:dyDescent="0.2">
      <c r="X1866" s="88"/>
    </row>
    <row r="1867" spans="24:24" x14ac:dyDescent="0.2">
      <c r="X1867" s="88"/>
    </row>
    <row r="1868" spans="24:24" x14ac:dyDescent="0.2">
      <c r="X1868" s="88"/>
    </row>
    <row r="1869" spans="24:24" x14ac:dyDescent="0.2">
      <c r="X1869" s="88"/>
    </row>
    <row r="1870" spans="24:24" x14ac:dyDescent="0.2">
      <c r="X1870" s="88"/>
    </row>
    <row r="1871" spans="24:24" x14ac:dyDescent="0.2">
      <c r="X1871" s="88"/>
    </row>
    <row r="1872" spans="24:24" x14ac:dyDescent="0.2">
      <c r="X1872" s="88"/>
    </row>
    <row r="1873" spans="24:24" x14ac:dyDescent="0.2">
      <c r="X1873" s="88"/>
    </row>
    <row r="1874" spans="24:24" x14ac:dyDescent="0.2">
      <c r="X1874" s="88"/>
    </row>
    <row r="1875" spans="24:24" x14ac:dyDescent="0.2">
      <c r="X1875" s="88"/>
    </row>
    <row r="1876" spans="24:24" x14ac:dyDescent="0.2">
      <c r="X1876" s="88"/>
    </row>
    <row r="1877" spans="24:24" x14ac:dyDescent="0.2">
      <c r="X1877" s="88"/>
    </row>
    <row r="1878" spans="24:24" x14ac:dyDescent="0.2">
      <c r="X1878" s="88"/>
    </row>
    <row r="1879" spans="24:24" x14ac:dyDescent="0.2">
      <c r="X1879" s="88"/>
    </row>
    <row r="1880" spans="24:24" x14ac:dyDescent="0.2">
      <c r="X1880" s="88"/>
    </row>
    <row r="1881" spans="24:24" x14ac:dyDescent="0.2">
      <c r="X1881" s="88"/>
    </row>
    <row r="1882" spans="24:24" x14ac:dyDescent="0.2">
      <c r="X1882" s="88"/>
    </row>
    <row r="1883" spans="24:24" x14ac:dyDescent="0.2">
      <c r="X1883" s="88"/>
    </row>
    <row r="1884" spans="24:24" x14ac:dyDescent="0.2">
      <c r="X1884" s="88"/>
    </row>
    <row r="1885" spans="24:24" x14ac:dyDescent="0.2">
      <c r="X1885" s="88"/>
    </row>
    <row r="1886" spans="24:24" x14ac:dyDescent="0.2">
      <c r="X1886" s="88"/>
    </row>
    <row r="1887" spans="24:24" x14ac:dyDescent="0.2">
      <c r="X1887" s="88"/>
    </row>
    <row r="1888" spans="24:24" x14ac:dyDescent="0.2">
      <c r="X1888" s="88"/>
    </row>
    <row r="1889" spans="24:24" x14ac:dyDescent="0.2">
      <c r="X1889" s="88"/>
    </row>
    <row r="1890" spans="24:24" x14ac:dyDescent="0.2">
      <c r="X1890" s="88"/>
    </row>
    <row r="1891" spans="24:24" x14ac:dyDescent="0.2">
      <c r="X1891" s="88"/>
    </row>
    <row r="1892" spans="24:24" x14ac:dyDescent="0.2">
      <c r="X1892" s="88"/>
    </row>
    <row r="1893" spans="24:24" x14ac:dyDescent="0.2">
      <c r="X1893" s="88"/>
    </row>
    <row r="1894" spans="24:24" x14ac:dyDescent="0.2">
      <c r="X1894" s="88"/>
    </row>
    <row r="1895" spans="24:24" x14ac:dyDescent="0.2">
      <c r="X1895" s="88"/>
    </row>
    <row r="1896" spans="24:24" x14ac:dyDescent="0.2">
      <c r="X1896" s="88"/>
    </row>
    <row r="1897" spans="24:24" x14ac:dyDescent="0.2">
      <c r="X1897" s="88"/>
    </row>
    <row r="1898" spans="24:24" x14ac:dyDescent="0.2">
      <c r="X1898" s="88"/>
    </row>
    <row r="1899" spans="24:24" x14ac:dyDescent="0.2">
      <c r="X1899" s="88"/>
    </row>
    <row r="1900" spans="24:24" x14ac:dyDescent="0.2">
      <c r="X1900" s="88"/>
    </row>
    <row r="1901" spans="24:24" x14ac:dyDescent="0.2">
      <c r="X1901" s="88"/>
    </row>
    <row r="1902" spans="24:24" x14ac:dyDescent="0.2">
      <c r="X1902" s="88"/>
    </row>
    <row r="1903" spans="24:24" x14ac:dyDescent="0.2">
      <c r="X1903" s="88"/>
    </row>
    <row r="1904" spans="24:24" x14ac:dyDescent="0.2">
      <c r="X1904" s="88"/>
    </row>
    <row r="1905" spans="24:24" x14ac:dyDescent="0.2">
      <c r="X1905" s="88"/>
    </row>
    <row r="1906" spans="24:24" x14ac:dyDescent="0.2">
      <c r="X1906" s="88"/>
    </row>
    <row r="1907" spans="24:24" x14ac:dyDescent="0.2">
      <c r="X1907" s="88"/>
    </row>
    <row r="1908" spans="24:24" x14ac:dyDescent="0.2">
      <c r="X1908" s="88"/>
    </row>
    <row r="1909" spans="24:24" x14ac:dyDescent="0.2">
      <c r="X1909" s="88"/>
    </row>
    <row r="1910" spans="24:24" x14ac:dyDescent="0.2">
      <c r="X1910" s="88"/>
    </row>
    <row r="1911" spans="24:24" x14ac:dyDescent="0.2">
      <c r="X1911" s="88"/>
    </row>
    <row r="1912" spans="24:24" x14ac:dyDescent="0.2">
      <c r="X1912" s="88"/>
    </row>
    <row r="1913" spans="24:24" x14ac:dyDescent="0.2">
      <c r="X1913" s="88"/>
    </row>
    <row r="1914" spans="24:24" x14ac:dyDescent="0.2">
      <c r="X1914" s="88"/>
    </row>
    <row r="1915" spans="24:24" x14ac:dyDescent="0.2">
      <c r="X1915" s="88"/>
    </row>
    <row r="1916" spans="24:24" x14ac:dyDescent="0.2">
      <c r="X1916" s="88"/>
    </row>
    <row r="1917" spans="24:24" x14ac:dyDescent="0.2">
      <c r="X1917" s="88"/>
    </row>
    <row r="1918" spans="24:24" x14ac:dyDescent="0.2">
      <c r="X1918" s="88"/>
    </row>
    <row r="1919" spans="24:24" x14ac:dyDescent="0.2">
      <c r="X1919" s="88"/>
    </row>
    <row r="1920" spans="24:24" x14ac:dyDescent="0.2">
      <c r="X1920" s="88"/>
    </row>
    <row r="1921" spans="24:24" x14ac:dyDescent="0.2">
      <c r="X1921" s="88"/>
    </row>
    <row r="1922" spans="24:24" x14ac:dyDescent="0.2">
      <c r="X1922" s="88"/>
    </row>
    <row r="1923" spans="24:24" x14ac:dyDescent="0.2">
      <c r="X1923" s="88"/>
    </row>
    <row r="1924" spans="24:24" x14ac:dyDescent="0.2">
      <c r="X1924" s="88"/>
    </row>
    <row r="1925" spans="24:24" x14ac:dyDescent="0.2">
      <c r="X1925" s="88"/>
    </row>
    <row r="1926" spans="24:24" x14ac:dyDescent="0.2">
      <c r="X1926" s="88"/>
    </row>
    <row r="1927" spans="24:24" x14ac:dyDescent="0.2">
      <c r="X1927" s="88"/>
    </row>
    <row r="1928" spans="24:24" x14ac:dyDescent="0.2">
      <c r="X1928" s="88"/>
    </row>
    <row r="1929" spans="24:24" x14ac:dyDescent="0.2">
      <c r="X1929" s="88"/>
    </row>
    <row r="1930" spans="24:24" x14ac:dyDescent="0.2">
      <c r="X1930" s="88"/>
    </row>
    <row r="1931" spans="24:24" x14ac:dyDescent="0.2">
      <c r="X1931" s="88"/>
    </row>
    <row r="1932" spans="24:24" x14ac:dyDescent="0.2">
      <c r="X1932" s="88"/>
    </row>
    <row r="1933" spans="24:24" x14ac:dyDescent="0.2">
      <c r="X1933" s="88"/>
    </row>
    <row r="1934" spans="24:24" x14ac:dyDescent="0.2">
      <c r="X1934" s="88"/>
    </row>
    <row r="1935" spans="24:24" x14ac:dyDescent="0.2">
      <c r="X1935" s="88"/>
    </row>
    <row r="1936" spans="24:24" x14ac:dyDescent="0.2">
      <c r="X1936" s="88"/>
    </row>
    <row r="1937" spans="24:24" x14ac:dyDescent="0.2">
      <c r="X1937" s="88"/>
    </row>
    <row r="1938" spans="24:24" x14ac:dyDescent="0.2">
      <c r="X1938" s="88"/>
    </row>
    <row r="1939" spans="24:24" x14ac:dyDescent="0.2">
      <c r="X1939" s="88"/>
    </row>
    <row r="1940" spans="24:24" x14ac:dyDescent="0.2">
      <c r="X1940" s="88"/>
    </row>
    <row r="1941" spans="24:24" x14ac:dyDescent="0.2">
      <c r="X1941" s="88"/>
    </row>
    <row r="1942" spans="24:24" x14ac:dyDescent="0.2">
      <c r="X1942" s="88"/>
    </row>
    <row r="1943" spans="24:24" x14ac:dyDescent="0.2">
      <c r="X1943" s="88"/>
    </row>
    <row r="1944" spans="24:24" x14ac:dyDescent="0.2">
      <c r="X1944" s="88"/>
    </row>
    <row r="1945" spans="24:24" x14ac:dyDescent="0.2">
      <c r="X1945" s="88"/>
    </row>
    <row r="1946" spans="24:24" x14ac:dyDescent="0.2">
      <c r="X1946" s="88"/>
    </row>
    <row r="1947" spans="24:24" x14ac:dyDescent="0.2">
      <c r="X1947" s="88"/>
    </row>
    <row r="1948" spans="24:24" x14ac:dyDescent="0.2">
      <c r="X1948" s="88"/>
    </row>
    <row r="1949" spans="24:24" x14ac:dyDescent="0.2">
      <c r="X1949" s="88"/>
    </row>
    <row r="1950" spans="24:24" x14ac:dyDescent="0.2">
      <c r="X1950" s="88"/>
    </row>
    <row r="1951" spans="24:24" x14ac:dyDescent="0.2">
      <c r="X1951" s="88"/>
    </row>
    <row r="1952" spans="24:24" x14ac:dyDescent="0.2">
      <c r="X1952" s="88"/>
    </row>
    <row r="1953" spans="24:24" x14ac:dyDescent="0.2">
      <c r="X1953" s="88"/>
    </row>
    <row r="1954" spans="24:24" x14ac:dyDescent="0.2">
      <c r="X1954" s="88"/>
    </row>
    <row r="1955" spans="24:24" x14ac:dyDescent="0.2">
      <c r="X1955" s="88"/>
    </row>
    <row r="1956" spans="24:24" x14ac:dyDescent="0.2">
      <c r="X1956" s="88"/>
    </row>
    <row r="1957" spans="24:24" x14ac:dyDescent="0.2">
      <c r="X1957" s="88"/>
    </row>
    <row r="1958" spans="24:24" x14ac:dyDescent="0.2">
      <c r="X1958" s="88"/>
    </row>
    <row r="1959" spans="24:24" x14ac:dyDescent="0.2">
      <c r="X1959" s="88"/>
    </row>
    <row r="1960" spans="24:24" x14ac:dyDescent="0.2">
      <c r="X1960" s="88"/>
    </row>
    <row r="1961" spans="24:24" x14ac:dyDescent="0.2">
      <c r="X1961" s="88"/>
    </row>
    <row r="1962" spans="24:24" x14ac:dyDescent="0.2">
      <c r="X1962" s="88"/>
    </row>
    <row r="1963" spans="24:24" x14ac:dyDescent="0.2">
      <c r="X1963" s="88"/>
    </row>
    <row r="1964" spans="24:24" x14ac:dyDescent="0.2">
      <c r="X1964" s="88"/>
    </row>
    <row r="1965" spans="24:24" x14ac:dyDescent="0.2">
      <c r="X1965" s="88"/>
    </row>
    <row r="1966" spans="24:24" x14ac:dyDescent="0.2">
      <c r="X1966" s="88"/>
    </row>
    <row r="1967" spans="24:24" x14ac:dyDescent="0.2">
      <c r="X1967" s="88"/>
    </row>
    <row r="1968" spans="24:24" x14ac:dyDescent="0.2">
      <c r="X1968" s="88"/>
    </row>
    <row r="1969" spans="24:24" x14ac:dyDescent="0.2">
      <c r="X1969" s="88"/>
    </row>
    <row r="1970" spans="24:24" x14ac:dyDescent="0.2">
      <c r="X1970" s="88"/>
    </row>
    <row r="1971" spans="24:24" x14ac:dyDescent="0.2">
      <c r="X1971" s="88"/>
    </row>
    <row r="1972" spans="24:24" x14ac:dyDescent="0.2">
      <c r="X1972" s="88"/>
    </row>
    <row r="1973" spans="24:24" x14ac:dyDescent="0.2">
      <c r="X1973" s="88"/>
    </row>
    <row r="1974" spans="24:24" x14ac:dyDescent="0.2">
      <c r="X1974" s="88"/>
    </row>
    <row r="1975" spans="24:24" x14ac:dyDescent="0.2">
      <c r="X1975" s="88"/>
    </row>
    <row r="1976" spans="24:24" x14ac:dyDescent="0.2">
      <c r="X1976" s="88"/>
    </row>
    <row r="1977" spans="24:24" x14ac:dyDescent="0.2">
      <c r="X1977" s="88"/>
    </row>
    <row r="1978" spans="24:24" x14ac:dyDescent="0.2">
      <c r="X1978" s="88"/>
    </row>
    <row r="1979" spans="24:24" x14ac:dyDescent="0.2">
      <c r="X1979" s="88"/>
    </row>
    <row r="1980" spans="24:24" x14ac:dyDescent="0.2">
      <c r="X1980" s="88"/>
    </row>
    <row r="1981" spans="24:24" x14ac:dyDescent="0.2">
      <c r="X1981" s="88"/>
    </row>
    <row r="1982" spans="24:24" x14ac:dyDescent="0.2">
      <c r="X1982" s="88"/>
    </row>
    <row r="1983" spans="24:24" x14ac:dyDescent="0.2">
      <c r="X1983" s="88"/>
    </row>
    <row r="1984" spans="24:24" x14ac:dyDescent="0.2">
      <c r="X1984" s="88"/>
    </row>
    <row r="1985" spans="24:24" x14ac:dyDescent="0.2">
      <c r="X1985" s="88"/>
    </row>
    <row r="1986" spans="24:24" x14ac:dyDescent="0.2">
      <c r="X1986" s="88"/>
    </row>
    <row r="1987" spans="24:24" x14ac:dyDescent="0.2">
      <c r="X1987" s="88"/>
    </row>
    <row r="1988" spans="24:24" x14ac:dyDescent="0.2">
      <c r="X1988" s="88"/>
    </row>
    <row r="1989" spans="24:24" x14ac:dyDescent="0.2">
      <c r="X1989" s="88"/>
    </row>
    <row r="1990" spans="24:24" x14ac:dyDescent="0.2">
      <c r="X1990" s="88"/>
    </row>
    <row r="1991" spans="24:24" x14ac:dyDescent="0.2">
      <c r="X1991" s="88"/>
    </row>
    <row r="1992" spans="24:24" x14ac:dyDescent="0.2">
      <c r="X1992" s="88"/>
    </row>
    <row r="1993" spans="24:24" x14ac:dyDescent="0.2">
      <c r="X1993" s="88"/>
    </row>
    <row r="1994" spans="24:24" x14ac:dyDescent="0.2">
      <c r="X1994" s="88"/>
    </row>
    <row r="1995" spans="24:24" x14ac:dyDescent="0.2">
      <c r="X1995" s="88"/>
    </row>
    <row r="1996" spans="24:24" x14ac:dyDescent="0.2">
      <c r="X1996" s="88"/>
    </row>
    <row r="1997" spans="24:24" x14ac:dyDescent="0.2">
      <c r="X1997" s="88"/>
    </row>
    <row r="1998" spans="24:24" x14ac:dyDescent="0.2">
      <c r="X1998" s="88"/>
    </row>
    <row r="1999" spans="24:24" x14ac:dyDescent="0.2">
      <c r="X1999" s="88"/>
    </row>
    <row r="2000" spans="24:24" x14ac:dyDescent="0.2">
      <c r="X2000" s="88"/>
    </row>
    <row r="2001" spans="24:24" x14ac:dyDescent="0.2">
      <c r="X2001" s="88"/>
    </row>
    <row r="2002" spans="24:24" x14ac:dyDescent="0.2">
      <c r="X2002" s="88"/>
    </row>
    <row r="2003" spans="24:24" x14ac:dyDescent="0.2">
      <c r="X2003" s="88"/>
    </row>
    <row r="2004" spans="24:24" x14ac:dyDescent="0.2">
      <c r="X2004" s="88"/>
    </row>
    <row r="2005" spans="24:24" x14ac:dyDescent="0.2">
      <c r="X2005" s="88"/>
    </row>
    <row r="2006" spans="24:24" x14ac:dyDescent="0.2">
      <c r="X2006" s="88"/>
    </row>
    <row r="2007" spans="24:24" x14ac:dyDescent="0.2">
      <c r="X2007" s="88"/>
    </row>
    <row r="2008" spans="24:24" x14ac:dyDescent="0.2">
      <c r="X2008" s="88"/>
    </row>
    <row r="2009" spans="24:24" x14ac:dyDescent="0.2">
      <c r="X2009" s="88"/>
    </row>
    <row r="2010" spans="24:24" x14ac:dyDescent="0.2">
      <c r="X2010" s="88"/>
    </row>
    <row r="2011" spans="24:24" x14ac:dyDescent="0.2">
      <c r="X2011" s="88"/>
    </row>
    <row r="2012" spans="24:24" x14ac:dyDescent="0.2">
      <c r="X2012" s="88"/>
    </row>
    <row r="2013" spans="24:24" x14ac:dyDescent="0.2">
      <c r="X2013" s="88"/>
    </row>
    <row r="2014" spans="24:24" x14ac:dyDescent="0.2">
      <c r="X2014" s="88"/>
    </row>
    <row r="2015" spans="24:24" x14ac:dyDescent="0.2">
      <c r="X2015" s="88"/>
    </row>
    <row r="2016" spans="24:24" x14ac:dyDescent="0.2">
      <c r="X2016" s="88"/>
    </row>
    <row r="2017" spans="24:24" x14ac:dyDescent="0.2">
      <c r="X2017" s="88"/>
    </row>
    <row r="2018" spans="24:24" x14ac:dyDescent="0.2">
      <c r="X2018" s="88"/>
    </row>
    <row r="2019" spans="24:24" x14ac:dyDescent="0.2">
      <c r="X2019" s="88"/>
    </row>
    <row r="2020" spans="24:24" x14ac:dyDescent="0.2">
      <c r="X2020" s="88"/>
    </row>
    <row r="2021" spans="24:24" x14ac:dyDescent="0.2">
      <c r="X2021" s="88"/>
    </row>
    <row r="2022" spans="24:24" x14ac:dyDescent="0.2">
      <c r="X2022" s="88"/>
    </row>
    <row r="2023" spans="24:24" x14ac:dyDescent="0.2">
      <c r="X2023" s="88"/>
    </row>
    <row r="2024" spans="24:24" x14ac:dyDescent="0.2">
      <c r="X2024" s="88"/>
    </row>
    <row r="2025" spans="24:24" x14ac:dyDescent="0.2">
      <c r="X2025" s="88"/>
    </row>
    <row r="2026" spans="24:24" x14ac:dyDescent="0.2">
      <c r="X2026" s="88"/>
    </row>
    <row r="2027" spans="24:24" x14ac:dyDescent="0.2">
      <c r="X2027" s="88"/>
    </row>
    <row r="2028" spans="24:24" x14ac:dyDescent="0.2">
      <c r="X2028" s="88"/>
    </row>
    <row r="2029" spans="24:24" x14ac:dyDescent="0.2">
      <c r="X2029" s="88"/>
    </row>
    <row r="2030" spans="24:24" x14ac:dyDescent="0.2">
      <c r="X2030" s="88"/>
    </row>
    <row r="2031" spans="24:24" x14ac:dyDescent="0.2">
      <c r="X2031" s="88"/>
    </row>
    <row r="2032" spans="24:24" x14ac:dyDescent="0.2">
      <c r="X2032" s="88"/>
    </row>
    <row r="2033" spans="24:24" x14ac:dyDescent="0.2">
      <c r="X2033" s="88"/>
    </row>
    <row r="2034" spans="24:24" x14ac:dyDescent="0.2">
      <c r="X2034" s="88"/>
    </row>
    <row r="2035" spans="24:24" x14ac:dyDescent="0.2">
      <c r="X2035" s="88"/>
    </row>
    <row r="2036" spans="24:24" x14ac:dyDescent="0.2">
      <c r="X2036" s="88"/>
    </row>
    <row r="2037" spans="24:24" x14ac:dyDescent="0.2">
      <c r="X2037" s="88"/>
    </row>
    <row r="2038" spans="24:24" x14ac:dyDescent="0.2">
      <c r="X2038" s="88"/>
    </row>
    <row r="2039" spans="24:24" x14ac:dyDescent="0.2">
      <c r="X2039" s="88"/>
    </row>
    <row r="2040" spans="24:24" x14ac:dyDescent="0.2">
      <c r="X2040" s="88"/>
    </row>
    <row r="2041" spans="24:24" x14ac:dyDescent="0.2">
      <c r="X2041" s="88"/>
    </row>
    <row r="2042" spans="24:24" x14ac:dyDescent="0.2">
      <c r="X2042" s="88"/>
    </row>
    <row r="2043" spans="24:24" x14ac:dyDescent="0.2">
      <c r="X2043" s="88"/>
    </row>
    <row r="2044" spans="24:24" x14ac:dyDescent="0.2">
      <c r="X2044" s="88"/>
    </row>
    <row r="2045" spans="24:24" x14ac:dyDescent="0.2">
      <c r="X2045" s="88"/>
    </row>
    <row r="2046" spans="24:24" x14ac:dyDescent="0.2">
      <c r="X2046" s="88"/>
    </row>
    <row r="2047" spans="24:24" x14ac:dyDescent="0.2">
      <c r="X2047" s="88"/>
    </row>
    <row r="2048" spans="24:24" x14ac:dyDescent="0.2">
      <c r="X2048" s="88"/>
    </row>
    <row r="2049" spans="24:24" x14ac:dyDescent="0.2">
      <c r="X2049" s="88"/>
    </row>
    <row r="2050" spans="24:24" x14ac:dyDescent="0.2">
      <c r="X2050" s="88"/>
    </row>
    <row r="2051" spans="24:24" x14ac:dyDescent="0.2">
      <c r="X2051" s="88"/>
    </row>
    <row r="2052" spans="24:24" x14ac:dyDescent="0.2">
      <c r="X2052" s="88"/>
    </row>
    <row r="2053" spans="24:24" x14ac:dyDescent="0.2">
      <c r="X2053" s="88"/>
    </row>
    <row r="2054" spans="24:24" x14ac:dyDescent="0.2">
      <c r="X2054" s="88"/>
    </row>
    <row r="2055" spans="24:24" x14ac:dyDescent="0.2">
      <c r="X2055" s="88"/>
    </row>
    <row r="2056" spans="24:24" x14ac:dyDescent="0.2">
      <c r="X2056" s="88"/>
    </row>
    <row r="2057" spans="24:24" x14ac:dyDescent="0.2">
      <c r="X2057" s="88"/>
    </row>
    <row r="2058" spans="24:24" x14ac:dyDescent="0.2">
      <c r="X2058" s="88"/>
    </row>
    <row r="2059" spans="24:24" x14ac:dyDescent="0.2">
      <c r="X2059" s="88"/>
    </row>
    <row r="2060" spans="24:24" x14ac:dyDescent="0.2">
      <c r="X2060" s="88"/>
    </row>
    <row r="2061" spans="24:24" x14ac:dyDescent="0.2">
      <c r="X2061" s="88"/>
    </row>
    <row r="2062" spans="24:24" x14ac:dyDescent="0.2">
      <c r="X2062" s="88"/>
    </row>
    <row r="2063" spans="24:24" x14ac:dyDescent="0.2">
      <c r="X2063" s="88"/>
    </row>
    <row r="2064" spans="24:24" x14ac:dyDescent="0.2">
      <c r="X2064" s="88"/>
    </row>
    <row r="2065" spans="24:24" x14ac:dyDescent="0.2">
      <c r="X2065" s="88"/>
    </row>
    <row r="2066" spans="24:24" x14ac:dyDescent="0.2">
      <c r="X2066" s="88"/>
    </row>
    <row r="2067" spans="24:24" x14ac:dyDescent="0.2">
      <c r="X2067" s="88"/>
    </row>
    <row r="2068" spans="24:24" x14ac:dyDescent="0.2">
      <c r="X2068" s="88"/>
    </row>
    <row r="2069" spans="24:24" x14ac:dyDescent="0.2">
      <c r="X2069" s="88"/>
    </row>
    <row r="2070" spans="24:24" x14ac:dyDescent="0.2">
      <c r="X2070" s="88"/>
    </row>
    <row r="2071" spans="24:24" x14ac:dyDescent="0.2">
      <c r="X2071" s="88"/>
    </row>
    <row r="2072" spans="24:24" x14ac:dyDescent="0.2">
      <c r="X2072" s="88"/>
    </row>
    <row r="2073" spans="24:24" x14ac:dyDescent="0.2">
      <c r="X2073" s="88"/>
    </row>
    <row r="2074" spans="24:24" x14ac:dyDescent="0.2">
      <c r="X2074" s="88"/>
    </row>
    <row r="2075" spans="24:24" x14ac:dyDescent="0.2">
      <c r="X2075" s="88"/>
    </row>
    <row r="2076" spans="24:24" x14ac:dyDescent="0.2">
      <c r="X2076" s="88"/>
    </row>
    <row r="2077" spans="24:24" x14ac:dyDescent="0.2">
      <c r="X2077" s="88"/>
    </row>
    <row r="2078" spans="24:24" x14ac:dyDescent="0.2">
      <c r="X2078" s="88"/>
    </row>
    <row r="2079" spans="24:24" x14ac:dyDescent="0.2">
      <c r="X2079" s="88"/>
    </row>
    <row r="2080" spans="24:24" x14ac:dyDescent="0.2">
      <c r="X2080" s="88"/>
    </row>
    <row r="2081" spans="24:24" x14ac:dyDescent="0.2">
      <c r="X2081" s="88"/>
    </row>
    <row r="2082" spans="24:24" x14ac:dyDescent="0.2">
      <c r="X2082" s="88"/>
    </row>
    <row r="2083" spans="24:24" x14ac:dyDescent="0.2">
      <c r="X2083" s="88"/>
    </row>
    <row r="2084" spans="24:24" x14ac:dyDescent="0.2">
      <c r="X2084" s="88"/>
    </row>
    <row r="2085" spans="24:24" x14ac:dyDescent="0.2">
      <c r="X2085" s="88"/>
    </row>
    <row r="2086" spans="24:24" x14ac:dyDescent="0.2">
      <c r="X2086" s="88"/>
    </row>
    <row r="2087" spans="24:24" x14ac:dyDescent="0.2">
      <c r="X2087" s="88"/>
    </row>
    <row r="2088" spans="24:24" x14ac:dyDescent="0.2">
      <c r="X2088" s="88"/>
    </row>
    <row r="2089" spans="24:24" x14ac:dyDescent="0.2">
      <c r="X2089" s="88"/>
    </row>
    <row r="2090" spans="24:24" x14ac:dyDescent="0.2">
      <c r="X2090" s="88"/>
    </row>
    <row r="2091" spans="24:24" x14ac:dyDescent="0.2">
      <c r="X2091" s="88"/>
    </row>
    <row r="2092" spans="24:24" x14ac:dyDescent="0.2">
      <c r="X2092" s="88"/>
    </row>
    <row r="2093" spans="24:24" x14ac:dyDescent="0.2">
      <c r="X2093" s="88"/>
    </row>
    <row r="2094" spans="24:24" x14ac:dyDescent="0.2">
      <c r="X2094" s="88"/>
    </row>
    <row r="2095" spans="24:24" x14ac:dyDescent="0.2">
      <c r="X2095" s="88"/>
    </row>
    <row r="2096" spans="24:24" x14ac:dyDescent="0.2">
      <c r="X2096" s="88"/>
    </row>
    <row r="2097" spans="24:24" x14ac:dyDescent="0.2">
      <c r="X2097" s="88"/>
    </row>
    <row r="2098" spans="24:24" x14ac:dyDescent="0.2">
      <c r="X2098" s="88"/>
    </row>
    <row r="2099" spans="24:24" x14ac:dyDescent="0.2">
      <c r="X2099" s="88"/>
    </row>
    <row r="2100" spans="24:24" x14ac:dyDescent="0.2">
      <c r="X2100" s="88"/>
    </row>
    <row r="2101" spans="24:24" x14ac:dyDescent="0.2">
      <c r="X2101" s="88"/>
    </row>
    <row r="2102" spans="24:24" x14ac:dyDescent="0.2">
      <c r="X2102" s="88"/>
    </row>
    <row r="2103" spans="24:24" x14ac:dyDescent="0.2">
      <c r="X2103" s="88"/>
    </row>
    <row r="2104" spans="24:24" x14ac:dyDescent="0.2">
      <c r="X2104" s="88"/>
    </row>
    <row r="2105" spans="24:24" x14ac:dyDescent="0.2">
      <c r="X2105" s="88"/>
    </row>
    <row r="2106" spans="24:24" x14ac:dyDescent="0.2">
      <c r="X2106" s="88"/>
    </row>
    <row r="2107" spans="24:24" x14ac:dyDescent="0.2">
      <c r="X2107" s="88"/>
    </row>
    <row r="2108" spans="24:24" x14ac:dyDescent="0.2">
      <c r="X2108" s="88"/>
    </row>
    <row r="2109" spans="24:24" x14ac:dyDescent="0.2">
      <c r="X2109" s="88"/>
    </row>
    <row r="2110" spans="24:24" x14ac:dyDescent="0.2">
      <c r="X2110" s="88"/>
    </row>
    <row r="2111" spans="24:24" x14ac:dyDescent="0.2">
      <c r="X2111" s="88"/>
    </row>
    <row r="2112" spans="24:24" x14ac:dyDescent="0.2">
      <c r="X2112" s="88"/>
    </row>
    <row r="2113" spans="24:24" x14ac:dyDescent="0.2">
      <c r="X2113" s="88"/>
    </row>
    <row r="2114" spans="24:24" x14ac:dyDescent="0.2">
      <c r="X2114" s="88"/>
    </row>
    <row r="2115" spans="24:24" x14ac:dyDescent="0.2">
      <c r="X2115" s="88"/>
    </row>
    <row r="2116" spans="24:24" x14ac:dyDescent="0.2">
      <c r="X2116" s="88"/>
    </row>
    <row r="2117" spans="24:24" x14ac:dyDescent="0.2">
      <c r="X2117" s="88"/>
    </row>
    <row r="2118" spans="24:24" x14ac:dyDescent="0.2">
      <c r="X2118" s="88"/>
    </row>
    <row r="2119" spans="24:24" x14ac:dyDescent="0.2">
      <c r="X2119" s="88"/>
    </row>
    <row r="2120" spans="24:24" x14ac:dyDescent="0.2">
      <c r="X2120" s="88"/>
    </row>
    <row r="2121" spans="24:24" x14ac:dyDescent="0.2">
      <c r="X2121" s="88"/>
    </row>
    <row r="2122" spans="24:24" x14ac:dyDescent="0.2">
      <c r="X2122" s="88"/>
    </row>
    <row r="2123" spans="24:24" x14ac:dyDescent="0.2">
      <c r="X2123" s="88"/>
    </row>
    <row r="2124" spans="24:24" x14ac:dyDescent="0.2">
      <c r="X2124" s="88"/>
    </row>
    <row r="2125" spans="24:24" x14ac:dyDescent="0.2">
      <c r="X2125" s="88"/>
    </row>
    <row r="2126" spans="24:24" x14ac:dyDescent="0.2">
      <c r="X2126" s="88"/>
    </row>
    <row r="2127" spans="24:24" x14ac:dyDescent="0.2">
      <c r="X2127" s="88"/>
    </row>
    <row r="2128" spans="24:24" x14ac:dyDescent="0.2">
      <c r="X2128" s="88"/>
    </row>
    <row r="2129" spans="24:24" x14ac:dyDescent="0.2">
      <c r="X2129" s="88"/>
    </row>
    <row r="2130" spans="24:24" x14ac:dyDescent="0.2">
      <c r="X2130" s="88"/>
    </row>
    <row r="2131" spans="24:24" x14ac:dyDescent="0.2">
      <c r="X2131" s="88"/>
    </row>
    <row r="2132" spans="24:24" x14ac:dyDescent="0.2">
      <c r="X2132" s="88"/>
    </row>
    <row r="2133" spans="24:24" x14ac:dyDescent="0.2">
      <c r="X2133" s="88"/>
    </row>
    <row r="2134" spans="24:24" x14ac:dyDescent="0.2">
      <c r="X2134" s="88"/>
    </row>
    <row r="2135" spans="24:24" x14ac:dyDescent="0.2">
      <c r="X2135" s="88"/>
    </row>
    <row r="2136" spans="24:24" x14ac:dyDescent="0.2">
      <c r="X2136" s="88"/>
    </row>
    <row r="2137" spans="24:24" x14ac:dyDescent="0.2">
      <c r="X2137" s="88"/>
    </row>
    <row r="2138" spans="24:24" x14ac:dyDescent="0.2">
      <c r="X2138" s="88"/>
    </row>
    <row r="2139" spans="24:24" x14ac:dyDescent="0.2">
      <c r="X2139" s="88"/>
    </row>
    <row r="2140" spans="24:24" x14ac:dyDescent="0.2">
      <c r="X2140" s="88"/>
    </row>
    <row r="2141" spans="24:24" x14ac:dyDescent="0.2">
      <c r="X2141" s="88"/>
    </row>
    <row r="2142" spans="24:24" x14ac:dyDescent="0.2">
      <c r="X2142" s="88"/>
    </row>
    <row r="2143" spans="24:24" x14ac:dyDescent="0.2">
      <c r="X2143" s="88"/>
    </row>
    <row r="2144" spans="24:24" x14ac:dyDescent="0.2">
      <c r="X2144" s="88"/>
    </row>
    <row r="2145" spans="24:24" x14ac:dyDescent="0.2">
      <c r="X2145" s="88"/>
    </row>
    <row r="2146" spans="24:24" x14ac:dyDescent="0.2">
      <c r="X2146" s="88"/>
    </row>
    <row r="2147" spans="24:24" x14ac:dyDescent="0.2">
      <c r="X2147" s="88"/>
    </row>
    <row r="2148" spans="24:24" x14ac:dyDescent="0.2">
      <c r="X2148" s="88"/>
    </row>
    <row r="2149" spans="24:24" x14ac:dyDescent="0.2">
      <c r="X2149" s="88"/>
    </row>
    <row r="2150" spans="24:24" x14ac:dyDescent="0.2">
      <c r="X2150" s="88"/>
    </row>
    <row r="2151" spans="24:24" x14ac:dyDescent="0.2">
      <c r="X2151" s="88"/>
    </row>
    <row r="2152" spans="24:24" x14ac:dyDescent="0.2">
      <c r="X2152" s="88"/>
    </row>
    <row r="2153" spans="24:24" x14ac:dyDescent="0.2">
      <c r="X2153" s="88"/>
    </row>
    <row r="2154" spans="24:24" x14ac:dyDescent="0.2">
      <c r="X2154" s="88"/>
    </row>
    <row r="2155" spans="24:24" x14ac:dyDescent="0.2">
      <c r="X2155" s="88"/>
    </row>
    <row r="2156" spans="24:24" x14ac:dyDescent="0.2">
      <c r="X2156" s="88"/>
    </row>
    <row r="2157" spans="24:24" x14ac:dyDescent="0.2">
      <c r="X2157" s="88"/>
    </row>
    <row r="2158" spans="24:24" x14ac:dyDescent="0.2">
      <c r="X2158" s="88"/>
    </row>
    <row r="2159" spans="24:24" x14ac:dyDescent="0.2">
      <c r="X2159" s="88"/>
    </row>
    <row r="2160" spans="24:24" x14ac:dyDescent="0.2">
      <c r="X2160" s="88"/>
    </row>
    <row r="2161" spans="24:24" x14ac:dyDescent="0.2">
      <c r="X2161" s="88"/>
    </row>
    <row r="2162" spans="24:24" x14ac:dyDescent="0.2">
      <c r="X2162" s="88"/>
    </row>
    <row r="2163" spans="24:24" x14ac:dyDescent="0.2">
      <c r="X2163" s="88"/>
    </row>
    <row r="2164" spans="24:24" x14ac:dyDescent="0.2">
      <c r="X2164" s="88"/>
    </row>
    <row r="2165" spans="24:24" x14ac:dyDescent="0.2">
      <c r="X2165" s="88"/>
    </row>
    <row r="2166" spans="24:24" x14ac:dyDescent="0.2">
      <c r="X2166" s="88"/>
    </row>
    <row r="2167" spans="24:24" x14ac:dyDescent="0.2">
      <c r="X2167" s="88"/>
    </row>
    <row r="2168" spans="24:24" x14ac:dyDescent="0.2">
      <c r="X2168" s="88"/>
    </row>
    <row r="2169" spans="24:24" x14ac:dyDescent="0.2">
      <c r="X2169" s="88"/>
    </row>
    <row r="2170" spans="24:24" x14ac:dyDescent="0.2">
      <c r="X2170" s="88"/>
    </row>
    <row r="2171" spans="24:24" x14ac:dyDescent="0.2">
      <c r="X2171" s="88"/>
    </row>
    <row r="2172" spans="24:24" x14ac:dyDescent="0.2">
      <c r="X2172" s="88"/>
    </row>
    <row r="2173" spans="24:24" x14ac:dyDescent="0.2">
      <c r="X2173" s="88"/>
    </row>
    <row r="2174" spans="24:24" x14ac:dyDescent="0.2">
      <c r="X2174" s="88"/>
    </row>
    <row r="2175" spans="24:24" x14ac:dyDescent="0.2">
      <c r="X2175" s="88"/>
    </row>
    <row r="2176" spans="24:24" x14ac:dyDescent="0.2">
      <c r="X2176" s="88"/>
    </row>
    <row r="2177" spans="24:24" x14ac:dyDescent="0.2">
      <c r="X2177" s="88"/>
    </row>
    <row r="2178" spans="24:24" x14ac:dyDescent="0.2">
      <c r="X2178" s="88"/>
    </row>
    <row r="2179" spans="24:24" x14ac:dyDescent="0.2">
      <c r="X2179" s="88"/>
    </row>
    <row r="2180" spans="24:24" x14ac:dyDescent="0.2">
      <c r="X2180" s="88"/>
    </row>
    <row r="2181" spans="24:24" x14ac:dyDescent="0.2">
      <c r="X2181" s="88"/>
    </row>
    <row r="2182" spans="24:24" x14ac:dyDescent="0.2">
      <c r="X2182" s="88"/>
    </row>
    <row r="2183" spans="24:24" x14ac:dyDescent="0.2">
      <c r="X2183" s="88"/>
    </row>
    <row r="2184" spans="24:24" x14ac:dyDescent="0.2">
      <c r="X2184" s="88"/>
    </row>
    <row r="2185" spans="24:24" x14ac:dyDescent="0.2">
      <c r="X2185" s="88"/>
    </row>
    <row r="2186" spans="24:24" x14ac:dyDescent="0.2">
      <c r="X2186" s="88"/>
    </row>
    <row r="2187" spans="24:24" x14ac:dyDescent="0.2">
      <c r="X2187" s="88"/>
    </row>
    <row r="2188" spans="24:24" x14ac:dyDescent="0.2">
      <c r="X2188" s="88"/>
    </row>
    <row r="2189" spans="24:24" x14ac:dyDescent="0.2">
      <c r="X2189" s="88"/>
    </row>
    <row r="2190" spans="24:24" x14ac:dyDescent="0.2">
      <c r="X2190" s="88"/>
    </row>
    <row r="2191" spans="24:24" x14ac:dyDescent="0.2">
      <c r="X2191" s="88"/>
    </row>
    <row r="2192" spans="24:24" x14ac:dyDescent="0.2">
      <c r="X2192" s="88"/>
    </row>
    <row r="2193" spans="24:24" x14ac:dyDescent="0.2">
      <c r="X2193" s="88"/>
    </row>
    <row r="2194" spans="24:24" x14ac:dyDescent="0.2">
      <c r="X2194" s="88"/>
    </row>
    <row r="2195" spans="24:24" x14ac:dyDescent="0.2">
      <c r="X2195" s="88"/>
    </row>
    <row r="2196" spans="24:24" x14ac:dyDescent="0.2">
      <c r="X2196" s="88"/>
    </row>
    <row r="2197" spans="24:24" x14ac:dyDescent="0.2">
      <c r="X2197" s="88"/>
    </row>
    <row r="2198" spans="24:24" x14ac:dyDescent="0.2">
      <c r="X2198" s="88"/>
    </row>
    <row r="2199" spans="24:24" x14ac:dyDescent="0.2">
      <c r="X2199" s="88"/>
    </row>
    <row r="2200" spans="24:24" x14ac:dyDescent="0.2">
      <c r="X2200" s="88"/>
    </row>
    <row r="2201" spans="24:24" x14ac:dyDescent="0.2">
      <c r="X2201" s="88"/>
    </row>
    <row r="2202" spans="24:24" x14ac:dyDescent="0.2">
      <c r="X2202" s="88"/>
    </row>
    <row r="2203" spans="24:24" x14ac:dyDescent="0.2">
      <c r="X2203" s="88"/>
    </row>
    <row r="2204" spans="24:24" x14ac:dyDescent="0.2">
      <c r="X2204" s="88"/>
    </row>
    <row r="2205" spans="24:24" x14ac:dyDescent="0.2">
      <c r="X2205" s="88"/>
    </row>
    <row r="2206" spans="24:24" x14ac:dyDescent="0.2">
      <c r="X2206" s="88"/>
    </row>
    <row r="2207" spans="24:24" x14ac:dyDescent="0.2">
      <c r="X2207" s="88"/>
    </row>
    <row r="2208" spans="24:24" x14ac:dyDescent="0.2">
      <c r="X2208" s="88"/>
    </row>
    <row r="2209" spans="24:24" x14ac:dyDescent="0.2">
      <c r="X2209" s="88"/>
    </row>
    <row r="2210" spans="24:24" x14ac:dyDescent="0.2">
      <c r="X2210" s="88"/>
    </row>
    <row r="2211" spans="24:24" x14ac:dyDescent="0.2">
      <c r="X2211" s="88"/>
    </row>
    <row r="2212" spans="24:24" x14ac:dyDescent="0.2">
      <c r="X2212" s="88"/>
    </row>
    <row r="2213" spans="24:24" x14ac:dyDescent="0.2">
      <c r="X2213" s="88"/>
    </row>
    <row r="2214" spans="24:24" x14ac:dyDescent="0.2">
      <c r="X2214" s="88"/>
    </row>
    <row r="2215" spans="24:24" x14ac:dyDescent="0.2">
      <c r="X2215" s="88"/>
    </row>
    <row r="2216" spans="24:24" x14ac:dyDescent="0.2">
      <c r="X2216" s="88"/>
    </row>
    <row r="2217" spans="24:24" x14ac:dyDescent="0.2">
      <c r="X2217" s="88"/>
    </row>
    <row r="2218" spans="24:24" x14ac:dyDescent="0.2">
      <c r="X2218" s="88"/>
    </row>
    <row r="2219" spans="24:24" x14ac:dyDescent="0.2">
      <c r="X2219" s="88"/>
    </row>
    <row r="2220" spans="24:24" x14ac:dyDescent="0.2">
      <c r="X2220" s="88"/>
    </row>
    <row r="2221" spans="24:24" x14ac:dyDescent="0.2">
      <c r="X2221" s="88"/>
    </row>
    <row r="2222" spans="24:24" x14ac:dyDescent="0.2">
      <c r="X2222" s="88"/>
    </row>
    <row r="2223" spans="24:24" x14ac:dyDescent="0.2">
      <c r="X2223" s="88"/>
    </row>
    <row r="2224" spans="24:24" x14ac:dyDescent="0.2">
      <c r="X2224" s="88"/>
    </row>
    <row r="2225" spans="24:24" x14ac:dyDescent="0.2">
      <c r="X2225" s="88"/>
    </row>
    <row r="2226" spans="24:24" x14ac:dyDescent="0.2">
      <c r="X2226" s="88"/>
    </row>
    <row r="2227" spans="24:24" x14ac:dyDescent="0.2">
      <c r="X2227" s="88"/>
    </row>
    <row r="2228" spans="24:24" x14ac:dyDescent="0.2">
      <c r="X2228" s="88"/>
    </row>
    <row r="2229" spans="24:24" x14ac:dyDescent="0.2">
      <c r="X2229" s="88"/>
    </row>
    <row r="2230" spans="24:24" x14ac:dyDescent="0.2">
      <c r="X2230" s="88"/>
    </row>
    <row r="2231" spans="24:24" x14ac:dyDescent="0.2">
      <c r="X2231" s="88"/>
    </row>
    <row r="2232" spans="24:24" x14ac:dyDescent="0.2">
      <c r="X2232" s="88"/>
    </row>
    <row r="2233" spans="24:24" x14ac:dyDescent="0.2">
      <c r="X2233" s="88"/>
    </row>
    <row r="2234" spans="24:24" x14ac:dyDescent="0.2">
      <c r="X2234" s="88"/>
    </row>
    <row r="2235" spans="24:24" x14ac:dyDescent="0.2">
      <c r="X2235" s="88"/>
    </row>
    <row r="2236" spans="24:24" x14ac:dyDescent="0.2">
      <c r="X2236" s="88"/>
    </row>
    <row r="2237" spans="24:24" x14ac:dyDescent="0.2">
      <c r="X2237" s="88"/>
    </row>
    <row r="2238" spans="24:24" x14ac:dyDescent="0.2">
      <c r="X2238" s="88"/>
    </row>
    <row r="2239" spans="24:24" x14ac:dyDescent="0.2">
      <c r="X2239" s="88"/>
    </row>
    <row r="2240" spans="24:24" x14ac:dyDescent="0.2">
      <c r="X2240" s="88"/>
    </row>
    <row r="2241" spans="24:24" x14ac:dyDescent="0.2">
      <c r="X2241" s="88"/>
    </row>
    <row r="2242" spans="24:24" x14ac:dyDescent="0.2">
      <c r="X2242" s="88"/>
    </row>
    <row r="2243" spans="24:24" x14ac:dyDescent="0.2">
      <c r="X2243" s="88"/>
    </row>
    <row r="2244" spans="24:24" x14ac:dyDescent="0.2">
      <c r="X2244" s="88"/>
    </row>
    <row r="2245" spans="24:24" x14ac:dyDescent="0.2">
      <c r="X2245" s="88"/>
    </row>
    <row r="2246" spans="24:24" x14ac:dyDescent="0.2">
      <c r="X2246" s="88"/>
    </row>
    <row r="2247" spans="24:24" x14ac:dyDescent="0.2">
      <c r="X2247" s="88"/>
    </row>
    <row r="2248" spans="24:24" x14ac:dyDescent="0.2">
      <c r="X2248" s="88"/>
    </row>
    <row r="2249" spans="24:24" x14ac:dyDescent="0.2">
      <c r="X2249" s="88"/>
    </row>
    <row r="2250" spans="24:24" x14ac:dyDescent="0.2">
      <c r="X2250" s="88"/>
    </row>
    <row r="2251" spans="24:24" x14ac:dyDescent="0.2">
      <c r="X2251" s="88"/>
    </row>
    <row r="2252" spans="24:24" x14ac:dyDescent="0.2">
      <c r="X2252" s="88"/>
    </row>
    <row r="2253" spans="24:24" x14ac:dyDescent="0.2">
      <c r="X2253" s="88"/>
    </row>
    <row r="2254" spans="24:24" x14ac:dyDescent="0.2">
      <c r="X2254" s="88"/>
    </row>
    <row r="2255" spans="24:24" x14ac:dyDescent="0.2">
      <c r="X2255" s="88"/>
    </row>
    <row r="2256" spans="24:24" x14ac:dyDescent="0.2">
      <c r="X2256" s="88"/>
    </row>
    <row r="2257" spans="24:24" x14ac:dyDescent="0.2">
      <c r="X2257" s="88"/>
    </row>
    <row r="2258" spans="24:24" x14ac:dyDescent="0.2">
      <c r="X2258" s="88"/>
    </row>
    <row r="2259" spans="24:24" x14ac:dyDescent="0.2">
      <c r="X2259" s="88"/>
    </row>
    <row r="2260" spans="24:24" x14ac:dyDescent="0.2">
      <c r="X2260" s="88"/>
    </row>
    <row r="2261" spans="24:24" x14ac:dyDescent="0.2">
      <c r="X2261" s="88"/>
    </row>
    <row r="2262" spans="24:24" x14ac:dyDescent="0.2">
      <c r="X2262" s="88"/>
    </row>
    <row r="2263" spans="24:24" x14ac:dyDescent="0.2">
      <c r="X2263" s="88"/>
    </row>
    <row r="2264" spans="24:24" x14ac:dyDescent="0.2">
      <c r="X2264" s="88"/>
    </row>
    <row r="2265" spans="24:24" x14ac:dyDescent="0.2">
      <c r="X2265" s="88"/>
    </row>
    <row r="2266" spans="24:24" x14ac:dyDescent="0.2">
      <c r="X2266" s="88"/>
    </row>
    <row r="2267" spans="24:24" x14ac:dyDescent="0.2">
      <c r="X2267" s="88"/>
    </row>
    <row r="2268" spans="24:24" x14ac:dyDescent="0.2">
      <c r="X2268" s="88"/>
    </row>
    <row r="2269" spans="24:24" x14ac:dyDescent="0.2">
      <c r="X2269" s="88"/>
    </row>
    <row r="2270" spans="24:24" x14ac:dyDescent="0.2">
      <c r="X2270" s="88"/>
    </row>
    <row r="2271" spans="24:24" x14ac:dyDescent="0.2">
      <c r="X2271" s="88"/>
    </row>
    <row r="2272" spans="24:24" x14ac:dyDescent="0.2">
      <c r="X2272" s="88"/>
    </row>
    <row r="2273" spans="24:24" x14ac:dyDescent="0.2">
      <c r="X2273" s="88"/>
    </row>
    <row r="2274" spans="24:24" x14ac:dyDescent="0.2">
      <c r="X2274" s="88"/>
    </row>
    <row r="2275" spans="24:24" x14ac:dyDescent="0.2">
      <c r="X2275" s="88"/>
    </row>
    <row r="2276" spans="24:24" x14ac:dyDescent="0.2">
      <c r="X2276" s="88"/>
    </row>
    <row r="2277" spans="24:24" x14ac:dyDescent="0.2">
      <c r="X2277" s="88"/>
    </row>
    <row r="2278" spans="24:24" x14ac:dyDescent="0.2">
      <c r="X2278" s="88"/>
    </row>
    <row r="2279" spans="24:24" x14ac:dyDescent="0.2">
      <c r="X2279" s="88"/>
    </row>
    <row r="2280" spans="24:24" x14ac:dyDescent="0.2">
      <c r="X2280" s="88"/>
    </row>
    <row r="2281" spans="24:24" x14ac:dyDescent="0.2">
      <c r="X2281" s="88"/>
    </row>
    <row r="2282" spans="24:24" x14ac:dyDescent="0.2">
      <c r="X2282" s="88"/>
    </row>
    <row r="2283" spans="24:24" x14ac:dyDescent="0.2">
      <c r="X2283" s="88"/>
    </row>
    <row r="2284" spans="24:24" x14ac:dyDescent="0.2">
      <c r="X2284" s="88"/>
    </row>
    <row r="2285" spans="24:24" x14ac:dyDescent="0.2">
      <c r="X2285" s="88"/>
    </row>
    <row r="2286" spans="24:24" x14ac:dyDescent="0.2">
      <c r="X2286" s="88"/>
    </row>
    <row r="2287" spans="24:24" x14ac:dyDescent="0.2">
      <c r="X2287" s="88"/>
    </row>
    <row r="2288" spans="24:24" x14ac:dyDescent="0.2">
      <c r="X2288" s="88"/>
    </row>
    <row r="2289" spans="24:24" x14ac:dyDescent="0.2">
      <c r="X2289" s="88"/>
    </row>
    <row r="2290" spans="24:24" x14ac:dyDescent="0.2">
      <c r="X2290" s="88"/>
    </row>
    <row r="2291" spans="24:24" x14ac:dyDescent="0.2">
      <c r="X2291" s="88"/>
    </row>
    <row r="2292" spans="24:24" x14ac:dyDescent="0.2">
      <c r="X2292" s="88"/>
    </row>
    <row r="2293" spans="24:24" x14ac:dyDescent="0.2">
      <c r="X2293" s="88"/>
    </row>
    <row r="2294" spans="24:24" x14ac:dyDescent="0.2">
      <c r="X2294" s="88"/>
    </row>
    <row r="2295" spans="24:24" x14ac:dyDescent="0.2">
      <c r="X2295" s="88"/>
    </row>
    <row r="2296" spans="24:24" x14ac:dyDescent="0.2">
      <c r="X2296" s="88"/>
    </row>
    <row r="2297" spans="24:24" x14ac:dyDescent="0.2">
      <c r="X2297" s="88"/>
    </row>
    <row r="2298" spans="24:24" x14ac:dyDescent="0.2">
      <c r="X2298" s="88"/>
    </row>
    <row r="2299" spans="24:24" x14ac:dyDescent="0.2">
      <c r="X2299" s="88"/>
    </row>
    <row r="2300" spans="24:24" x14ac:dyDescent="0.2">
      <c r="X2300" s="88"/>
    </row>
    <row r="2301" spans="24:24" x14ac:dyDescent="0.2">
      <c r="X2301" s="88"/>
    </row>
    <row r="2302" spans="24:24" x14ac:dyDescent="0.2">
      <c r="X2302" s="88"/>
    </row>
    <row r="2303" spans="24:24" x14ac:dyDescent="0.2">
      <c r="X2303" s="88"/>
    </row>
    <row r="2304" spans="24:24" x14ac:dyDescent="0.2">
      <c r="X2304" s="88"/>
    </row>
    <row r="2305" spans="24:24" x14ac:dyDescent="0.2">
      <c r="X2305" s="88"/>
    </row>
    <row r="2306" spans="24:24" x14ac:dyDescent="0.2">
      <c r="X2306" s="88"/>
    </row>
    <row r="2307" spans="24:24" x14ac:dyDescent="0.2">
      <c r="X2307" s="88"/>
    </row>
    <row r="2308" spans="24:24" x14ac:dyDescent="0.2">
      <c r="X2308" s="88"/>
    </row>
    <row r="2309" spans="24:24" x14ac:dyDescent="0.2">
      <c r="X2309" s="88"/>
    </row>
    <row r="2310" spans="24:24" x14ac:dyDescent="0.2">
      <c r="X2310" s="88"/>
    </row>
    <row r="2311" spans="24:24" x14ac:dyDescent="0.2">
      <c r="X2311" s="88"/>
    </row>
    <row r="2312" spans="24:24" x14ac:dyDescent="0.2">
      <c r="X2312" s="88"/>
    </row>
    <row r="2313" spans="24:24" x14ac:dyDescent="0.2">
      <c r="X2313" s="88"/>
    </row>
    <row r="2314" spans="24:24" x14ac:dyDescent="0.2">
      <c r="X2314" s="88"/>
    </row>
    <row r="2315" spans="24:24" x14ac:dyDescent="0.2">
      <c r="X2315" s="88"/>
    </row>
    <row r="2316" spans="24:24" x14ac:dyDescent="0.2">
      <c r="X2316" s="88"/>
    </row>
    <row r="2317" spans="24:24" x14ac:dyDescent="0.2">
      <c r="X2317" s="88"/>
    </row>
    <row r="2318" spans="24:24" x14ac:dyDescent="0.2">
      <c r="X2318" s="88"/>
    </row>
    <row r="2319" spans="24:24" x14ac:dyDescent="0.2">
      <c r="X2319" s="88"/>
    </row>
    <row r="2320" spans="24:24" x14ac:dyDescent="0.2">
      <c r="X2320" s="88"/>
    </row>
    <row r="2321" spans="24:24" x14ac:dyDescent="0.2">
      <c r="X2321" s="88"/>
    </row>
    <row r="2322" spans="24:24" x14ac:dyDescent="0.2">
      <c r="X2322" s="88"/>
    </row>
    <row r="2323" spans="24:24" x14ac:dyDescent="0.2">
      <c r="X2323" s="88"/>
    </row>
    <row r="2324" spans="24:24" x14ac:dyDescent="0.2">
      <c r="X2324" s="88"/>
    </row>
    <row r="2325" spans="24:24" x14ac:dyDescent="0.2">
      <c r="X2325" s="88"/>
    </row>
    <row r="2326" spans="24:24" x14ac:dyDescent="0.2">
      <c r="X2326" s="88"/>
    </row>
    <row r="2327" spans="24:24" x14ac:dyDescent="0.2">
      <c r="X2327" s="88"/>
    </row>
    <row r="2328" spans="24:24" x14ac:dyDescent="0.2">
      <c r="X2328" s="88"/>
    </row>
    <row r="2329" spans="24:24" x14ac:dyDescent="0.2">
      <c r="X2329" s="88"/>
    </row>
    <row r="2330" spans="24:24" x14ac:dyDescent="0.2">
      <c r="X2330" s="88"/>
    </row>
    <row r="2331" spans="24:24" x14ac:dyDescent="0.2">
      <c r="X2331" s="88"/>
    </row>
    <row r="2332" spans="24:24" x14ac:dyDescent="0.2">
      <c r="X2332" s="88"/>
    </row>
    <row r="2333" spans="24:24" x14ac:dyDescent="0.2">
      <c r="X2333" s="88"/>
    </row>
    <row r="2334" spans="24:24" x14ac:dyDescent="0.2">
      <c r="X2334" s="88"/>
    </row>
    <row r="2335" spans="24:24" x14ac:dyDescent="0.2">
      <c r="X2335" s="88"/>
    </row>
    <row r="2336" spans="24:24" x14ac:dyDescent="0.2">
      <c r="X2336" s="88"/>
    </row>
    <row r="2337" spans="24:24" x14ac:dyDescent="0.2">
      <c r="X2337" s="88"/>
    </row>
    <row r="2338" spans="24:24" x14ac:dyDescent="0.2">
      <c r="X2338" s="88"/>
    </row>
    <row r="2339" spans="24:24" x14ac:dyDescent="0.2">
      <c r="X2339" s="88"/>
    </row>
    <row r="2340" spans="24:24" x14ac:dyDescent="0.2">
      <c r="X2340" s="88"/>
    </row>
    <row r="2341" spans="24:24" x14ac:dyDescent="0.2">
      <c r="X2341" s="88"/>
    </row>
    <row r="2342" spans="24:24" x14ac:dyDescent="0.2">
      <c r="X2342" s="88"/>
    </row>
    <row r="2343" spans="24:24" x14ac:dyDescent="0.2">
      <c r="X2343" s="88"/>
    </row>
    <row r="2344" spans="24:24" x14ac:dyDescent="0.2">
      <c r="X2344" s="88"/>
    </row>
    <row r="2345" spans="24:24" x14ac:dyDescent="0.2">
      <c r="X2345" s="88"/>
    </row>
    <row r="2346" spans="24:24" x14ac:dyDescent="0.2">
      <c r="X2346" s="88"/>
    </row>
  </sheetData>
  <mergeCells count="44">
    <mergeCell ref="U2:V2"/>
    <mergeCell ref="V23:V27"/>
    <mergeCell ref="W23:W27"/>
    <mergeCell ref="X23:X27"/>
    <mergeCell ref="P15:R16"/>
    <mergeCell ref="E28:F28"/>
    <mergeCell ref="T17:W17"/>
    <mergeCell ref="Q21:Q27"/>
    <mergeCell ref="R21:R27"/>
    <mergeCell ref="S23:S27"/>
    <mergeCell ref="T23:T27"/>
    <mergeCell ref="U23:U27"/>
    <mergeCell ref="S19:X20"/>
    <mergeCell ref="S21:T22"/>
    <mergeCell ref="U21:V22"/>
    <mergeCell ref="W21:X22"/>
    <mergeCell ref="I19:R20"/>
    <mergeCell ref="M21:M27"/>
    <mergeCell ref="N21:N27"/>
    <mergeCell ref="O21:O27"/>
    <mergeCell ref="P21:P27"/>
    <mergeCell ref="M15:O16"/>
    <mergeCell ref="C9:F9"/>
    <mergeCell ref="C10:F10"/>
    <mergeCell ref="C11:F12"/>
    <mergeCell ref="A1:F2"/>
    <mergeCell ref="C3:F3"/>
    <mergeCell ref="C4:F5"/>
    <mergeCell ref="C6:F6"/>
    <mergeCell ref="C7:F8"/>
    <mergeCell ref="C13:F13"/>
    <mergeCell ref="G15:K16"/>
    <mergeCell ref="B19:B27"/>
    <mergeCell ref="C19:D20"/>
    <mergeCell ref="E19:G20"/>
    <mergeCell ref="C21:C27"/>
    <mergeCell ref="D21:D27"/>
    <mergeCell ref="E21:F27"/>
    <mergeCell ref="G21:G27"/>
    <mergeCell ref="H19:H27"/>
    <mergeCell ref="I21:I27"/>
    <mergeCell ref="J21:J27"/>
    <mergeCell ref="K21:K27"/>
    <mergeCell ref="L21:L27"/>
  </mergeCells>
  <pageMargins left="0.70866141732283472" right="1.6929133858267718" top="0.74803149606299213" bottom="0.74803149606299213" header="0.31496062992125984" footer="0.31496062992125984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55"/>
  <sheetViews>
    <sheetView topLeftCell="A20" zoomScaleNormal="100" workbookViewId="0">
      <selection activeCell="J53" sqref="J53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9" bestFit="1" customWidth="1"/>
    <col min="11" max="11" width="9.875" bestFit="1" customWidth="1"/>
    <col min="12" max="12" width="32.25" bestFit="1" customWidth="1"/>
    <col min="13" max="13" width="23.125" bestFit="1" customWidth="1"/>
    <col min="14" max="14" width="12.5" bestFit="1" customWidth="1"/>
    <col min="15" max="15" width="18.125" bestFit="1" customWidth="1"/>
    <col min="16" max="16" width="12.5" bestFit="1" customWidth="1"/>
    <col min="17" max="17" width="18.125" bestFit="1" customWidth="1"/>
    <col min="18" max="18" width="12.5" bestFit="1" customWidth="1"/>
    <col min="19" max="19" width="18.125" bestFit="1" customWidth="1"/>
    <col min="20" max="20" width="10" customWidth="1"/>
  </cols>
  <sheetData>
    <row r="1" spans="1:18" x14ac:dyDescent="0.2">
      <c r="A1" s="254" t="str">
        <f>NASLOV!B5</f>
        <v>Markus Renz</v>
      </c>
      <c r="B1" s="254"/>
      <c r="C1" s="254"/>
      <c r="D1" s="254"/>
      <c r="E1" s="254"/>
      <c r="F1" s="254"/>
    </row>
    <row r="2" spans="1:18" x14ac:dyDescent="0.2">
      <c r="A2" s="254"/>
      <c r="B2" s="254"/>
      <c r="C2" s="254"/>
      <c r="D2" s="254"/>
      <c r="E2" s="254"/>
      <c r="F2" s="254"/>
    </row>
    <row r="3" spans="1:18" x14ac:dyDescent="0.2">
      <c r="C3" s="252" t="str">
        <f>INDEX(PRIJEVODI!B:D,MATCH("URIC-001",PRIJEVODI!A:A,0),MATCH(NASLOV!$B$2,PRIJEVODI!$B$1:$D$1,0))</f>
        <v>STEUERPFLICHTIGER: NAME / NACHNAME</v>
      </c>
      <c r="D3" s="252"/>
      <c r="E3" s="252"/>
      <c r="F3" s="252"/>
      <c r="Q3" s="257"/>
      <c r="R3" s="257"/>
    </row>
    <row r="4" spans="1:18" x14ac:dyDescent="0.2">
      <c r="C4" s="253" t="str">
        <f>NASLOV!B7</f>
        <v>Am Sonnblick 6, Lichtenau</v>
      </c>
      <c r="D4" s="253"/>
      <c r="E4" s="253"/>
      <c r="F4" s="253"/>
    </row>
    <row r="5" spans="1:18" x14ac:dyDescent="0.2">
      <c r="C5" s="253"/>
      <c r="D5" s="253"/>
      <c r="E5" s="253"/>
      <c r="F5" s="253"/>
    </row>
    <row r="6" spans="1:18" x14ac:dyDescent="0.2">
      <c r="C6" s="252" t="str">
        <f>INDEX(PRIJEVODI!B:D,MATCH("URIC-002",PRIJEVODI!A:A,0),MATCH(NASLOV!$B$2,PRIJEVODI!$B$1:$D$1,0))</f>
        <v>ADRESSE: ORT, STRASSE UND HAUSNUMMER</v>
      </c>
      <c r="D6" s="252"/>
      <c r="E6" s="252"/>
      <c r="F6" s="252"/>
    </row>
    <row r="7" spans="1:18" x14ac:dyDescent="0.2">
      <c r="C7" s="255"/>
      <c r="D7" s="255"/>
      <c r="E7" s="255"/>
      <c r="F7" s="255"/>
    </row>
    <row r="8" spans="1:18" x14ac:dyDescent="0.2">
      <c r="C8" s="255"/>
      <c r="D8" s="255"/>
      <c r="E8" s="255"/>
      <c r="F8" s="255"/>
    </row>
    <row r="9" spans="1:18" x14ac:dyDescent="0.2">
      <c r="C9" s="252" t="str">
        <f>INDEX(PRIJEVODI!B:D,MATCH("URIC-003",PRIJEVODI!A:A,0),MATCH(NASLOV!$B$2,PRIJEVODI!$B$1:$D$1,0))</f>
        <v xml:space="preserve">NUMMERIERUNG GEMÄSS DEM NATIONALEN KLASSIFIZIERUNGSSYSTEM  </v>
      </c>
      <c r="D9" s="252"/>
      <c r="E9" s="252"/>
      <c r="F9" s="252"/>
    </row>
    <row r="10" spans="1:18" x14ac:dyDescent="0.2">
      <c r="C10" s="252"/>
      <c r="D10" s="252"/>
      <c r="E10" s="252"/>
      <c r="F10" s="252"/>
    </row>
    <row r="11" spans="1:18" x14ac:dyDescent="0.2">
      <c r="C11" s="253" t="str">
        <f>NASLOV!B9</f>
        <v>HR6411581446</v>
      </c>
      <c r="D11" s="253"/>
      <c r="E11" s="253"/>
      <c r="F11" s="253"/>
    </row>
    <row r="12" spans="1:18" x14ac:dyDescent="0.2">
      <c r="C12" s="253"/>
      <c r="D12" s="253"/>
      <c r="E12" s="253"/>
      <c r="F12" s="253"/>
    </row>
    <row r="13" spans="1:18" x14ac:dyDescent="0.2">
      <c r="C13" s="252" t="str">
        <f>INDEX(PRIJEVODI!B:D,MATCH("URIC-004",PRIJEVODI!A:A,0),MATCH(NASLOV!$B$2,PRIJEVODI!$B$1:$D$1,0))</f>
        <v>STEUERNUMMER (UID)</v>
      </c>
      <c r="D13" s="252"/>
      <c r="E13" s="252"/>
      <c r="F13" s="252"/>
    </row>
    <row r="15" spans="1:18" x14ac:dyDescent="0.2">
      <c r="G15" s="256" t="str">
        <f>INDEX(PRIJEVODI!B:D,MATCH("URIC-005",PRIJEVODI!A:A,0),MATCH(NASLOV!$B$2,PRIJEVODI!$B$1:$D$1,0))</f>
        <v>EINGANGSRECHNUNGBUCH - IG ERWERB</v>
      </c>
      <c r="H15" s="257"/>
      <c r="I15" s="257"/>
      <c r="J15" s="257"/>
      <c r="K15" s="257"/>
      <c r="L15" s="59"/>
    </row>
    <row r="16" spans="1:18" x14ac:dyDescent="0.2">
      <c r="G16" s="257"/>
      <c r="H16" s="257"/>
      <c r="I16" s="257"/>
      <c r="J16" s="257"/>
      <c r="K16" s="257"/>
      <c r="L16" s="59"/>
      <c r="O16" s="257" t="str">
        <f>INDEX(PRIJEVODI!B:D,MATCH("URIC-006",PRIJEVODI!A:A,0),MATCH(NASLOV!$B$2,PRIJEVODI!$B$1:$D$1,0))</f>
        <v>BETRAG IN KUNA UND LIPA</v>
      </c>
      <c r="P16" s="257"/>
      <c r="Q16" s="257"/>
      <c r="R16" s="257"/>
    </row>
    <row r="19" spans="1:22" ht="12.75" customHeight="1" x14ac:dyDescent="0.2">
      <c r="B19" s="226" t="str">
        <f>INDEX(PRIJEVODI!B:D,MATCH("URIC-007",PRIJEVODI!A:A,0),MATCH(NASLOV!$B$2,PRIJEVODI!$B$1:$D$1,0))</f>
        <v xml:space="preserve">ORDNUNGSNUMMER </v>
      </c>
      <c r="C19" s="229" t="str">
        <f>INDEX(PRIJEVODI!B:D,MATCH("URIC-008",PRIJEVODI!A:A,0),MATCH(NASLOV!$B$2,PRIJEVODI!$B$1:$D$1,0))</f>
        <v>RECHNUNG</v>
      </c>
      <c r="D19" s="230"/>
      <c r="E19" s="275" t="str">
        <f>INDEX(PRIJEVODI!B:D,MATCH("URIC-011",PRIJEVODI!A:A,0),MATCH(NASLOV!$B$2,PRIJEVODI!$B$1:$D$1,0))</f>
        <v>LIEFERANT (ANBIETER VON WAREN UND DIENSTLEISTUNGEN)</v>
      </c>
      <c r="F19" s="276"/>
      <c r="G19" s="276"/>
      <c r="H19" s="276"/>
      <c r="I19" s="276"/>
      <c r="J19" s="276"/>
      <c r="K19" s="276"/>
      <c r="L19" s="276"/>
      <c r="M19" s="273"/>
      <c r="N19" s="229" t="str">
        <f>INDEX(PRIJEVODI!B:D,MATCH("URIC-020",PRIJEVODI!A:A,0),MATCH(NASLOV!$B$2,PRIJEVODI!$B$1:$D$1,0))</f>
        <v>STEUER</v>
      </c>
      <c r="O19" s="260"/>
      <c r="P19" s="260"/>
      <c r="Q19" s="260"/>
      <c r="R19" s="260"/>
      <c r="S19" s="266"/>
      <c r="T19" s="271" t="s">
        <v>605</v>
      </c>
      <c r="U19" s="272" t="s">
        <v>606</v>
      </c>
    </row>
    <row r="20" spans="1:22" x14ac:dyDescent="0.2">
      <c r="B20" s="227"/>
      <c r="C20" s="231"/>
      <c r="D20" s="232"/>
      <c r="E20" s="269"/>
      <c r="F20" s="277"/>
      <c r="G20" s="277"/>
      <c r="H20" s="277"/>
      <c r="I20" s="277"/>
      <c r="J20" s="277"/>
      <c r="K20" s="277"/>
      <c r="L20" s="277"/>
      <c r="M20" s="278"/>
      <c r="N20" s="262"/>
      <c r="O20" s="263"/>
      <c r="P20" s="263"/>
      <c r="Q20" s="263"/>
      <c r="R20" s="263"/>
      <c r="S20" s="264"/>
      <c r="T20" s="271"/>
      <c r="U20" s="272"/>
    </row>
    <row r="21" spans="1:22" ht="12.75" customHeight="1" x14ac:dyDescent="0.2">
      <c r="B21" s="227"/>
      <c r="C21" s="239" t="str">
        <f>INDEX(PRIJEVODI!B:D,MATCH("URIC-009",PRIJEVODI!A:A,0),MATCH(NASLOV!$B$2,PRIJEVODI!$B$1:$D$1,0))</f>
        <v xml:space="preserve">NUMMER </v>
      </c>
      <c r="D21" s="239" t="str">
        <f>INDEX(PRIJEVODI!B:D,MATCH("URIC-010",PRIJEVODI!A:A,0),MATCH(NASLOV!$B$2,PRIJEVODI!$B$1:$D$1,0))</f>
        <v>DATUM</v>
      </c>
      <c r="E21" s="242" t="str">
        <f>INDEX(PRIJEVODI!B:D,MATCH("URIC-012",PRIJEVODI!A:A,0),MATCH(NASLOV!$B$2,PRIJEVODI!$B$1:$D$1,0))</f>
        <v>TITEL - NAME UND NACHNAME, GESCHÄFTSSITZ / SITZORT</v>
      </c>
      <c r="F21" s="243"/>
      <c r="G21" s="248" t="str">
        <f>INDEX(PRIJEVODI!B:D,MATCH("URIC-013",PRIJEVODI!A:A,0),MATCH(NASLOV!$B$2,PRIJEVODI!$B$1:$D$1,0))</f>
        <v>STEUERNUMMER (UID)</v>
      </c>
      <c r="H21" s="267" t="str">
        <f>INDEX(PRIJEVODI!B:D,MATCH("URIC-014",PRIJEVODI!A:A,0),MATCH(NASLOV!$B$2,PRIJEVODI!$B$1:$D$1,0))</f>
        <v>LIEFERWERT</v>
      </c>
      <c r="I21" s="276"/>
      <c r="J21" s="273"/>
      <c r="K21" s="248" t="str">
        <f>INDEX(PRIJEVODI!B:D,MATCH("URIC-018",PRIJEVODI!A:A,0),MATCH(NASLOV!$B$2,PRIJEVODI!$B$1:$D$1,0))</f>
        <v>GESAMTBETRAG DER RECHNUNG INKLUSIVE MwST.</v>
      </c>
      <c r="L21" s="56"/>
      <c r="M21" s="239" t="str">
        <f>INDEX(PRIJEVODI!B:D,MATCH("URIC-030",PRIJEVODI!A:A,0),MATCH(NASLOV!$B$2,PRIJEVODI!$B$1:$D$1,0))</f>
        <v>TOTAL</v>
      </c>
      <c r="N21" s="265">
        <v>0.05</v>
      </c>
      <c r="O21" s="266"/>
      <c r="P21" s="265">
        <v>0.13</v>
      </c>
      <c r="Q21" s="266"/>
      <c r="R21" s="265">
        <v>0.25</v>
      </c>
      <c r="S21" s="266"/>
      <c r="T21" s="271"/>
      <c r="U21" s="272"/>
    </row>
    <row r="22" spans="1:22" x14ac:dyDescent="0.2">
      <c r="B22" s="227"/>
      <c r="C22" s="240"/>
      <c r="D22" s="240"/>
      <c r="E22" s="244"/>
      <c r="F22" s="245"/>
      <c r="G22" s="249"/>
      <c r="H22" s="268"/>
      <c r="I22" s="279"/>
      <c r="J22" s="280"/>
      <c r="K22" s="249"/>
      <c r="L22" s="57"/>
      <c r="M22" s="240"/>
      <c r="N22" s="262"/>
      <c r="O22" s="264"/>
      <c r="P22" s="262"/>
      <c r="Q22" s="264"/>
      <c r="R22" s="262"/>
      <c r="S22" s="264"/>
      <c r="T22" s="271"/>
      <c r="U22" s="272"/>
    </row>
    <row r="23" spans="1:22" x14ac:dyDescent="0.2">
      <c r="B23" s="227"/>
      <c r="C23" s="240"/>
      <c r="D23" s="240"/>
      <c r="E23" s="244"/>
      <c r="F23" s="245"/>
      <c r="G23" s="249"/>
      <c r="H23" s="268"/>
      <c r="I23" s="279"/>
      <c r="J23" s="280"/>
      <c r="K23" s="249"/>
      <c r="L23" s="57"/>
      <c r="M23" s="240"/>
      <c r="N23" s="248" t="str">
        <f>INDEX(PRIJEVODI!B:D,MATCH("URIC-022",PRIJEVODI!A:A,0),MATCH(NASLOV!$B$2,PRIJEVODI!$B$1:$D$1,0))</f>
        <v>ABZUGSFÄHIG</v>
      </c>
      <c r="O23" s="248" t="str">
        <f>INDEX(PRIJEVODI!B:D,MATCH("URIC-023",PRIJEVODI!A:A,0),MATCH(NASLOV!$B$2,PRIJEVODI!$B$1:$D$1,0))</f>
        <v>NICHT ABZUGSFÄHIG</v>
      </c>
      <c r="P23" s="248" t="str">
        <f>INDEX(PRIJEVODI!B:D,MATCH("URIC-025",PRIJEVODI!A:A,0),MATCH(NASLOV!$B$2,PRIJEVODI!$B$1:$D$1,0))</f>
        <v>ABZUGSFÄHIG</v>
      </c>
      <c r="Q23" s="248" t="str">
        <f>INDEX(PRIJEVODI!B:D,MATCH("URIC-026",PRIJEVODI!A:A,0),MATCH(NASLOV!$B$2,PRIJEVODI!$B$1:$D$1,0))</f>
        <v>NICHT ABZUGSFÄHIG</v>
      </c>
      <c r="R23" s="248" t="str">
        <f>INDEX(PRIJEVODI!B:D,MATCH("URIC-028",PRIJEVODI!A:A,0),MATCH(NASLOV!$B$2,PRIJEVODI!$B$1:$D$1,0))</f>
        <v>ABZUGSFÄHIG</v>
      </c>
      <c r="S23" s="248" t="str">
        <f>INDEX(PRIJEVODI!B:D,MATCH("URIC-029",PRIJEVODI!A:A,0),MATCH(NASLOV!$B$2,PRIJEVODI!$B$1:$D$1,0))</f>
        <v>NICHT ABZUGSFÄHIG</v>
      </c>
      <c r="T23" s="271"/>
      <c r="U23" s="272"/>
    </row>
    <row r="24" spans="1:22" x14ac:dyDescent="0.2">
      <c r="B24" s="227"/>
      <c r="C24" s="240"/>
      <c r="D24" s="240"/>
      <c r="E24" s="244"/>
      <c r="F24" s="245"/>
      <c r="G24" s="249"/>
      <c r="H24" s="268"/>
      <c r="I24" s="279"/>
      <c r="J24" s="280"/>
      <c r="K24" s="249"/>
      <c r="L24" s="61" t="str">
        <f>INDEX(PRIJEVODI!B:D,MATCH("URIC-019",PRIJEVODI!A:A,0),MATCH(NASLOV!$B$2,PRIJEVODI!$B$1:$D$1,0))</f>
        <v>STEUERBEFREIUNGEN / ABZUGSFÄHIG</v>
      </c>
      <c r="M24" s="240"/>
      <c r="N24" s="249"/>
      <c r="O24" s="249"/>
      <c r="P24" s="249"/>
      <c r="Q24" s="249"/>
      <c r="R24" s="249"/>
      <c r="S24" s="249"/>
      <c r="T24" s="271"/>
      <c r="U24" s="272"/>
    </row>
    <row r="25" spans="1:22" x14ac:dyDescent="0.2">
      <c r="B25" s="227"/>
      <c r="C25" s="240"/>
      <c r="D25" s="240"/>
      <c r="E25" s="244"/>
      <c r="F25" s="245"/>
      <c r="G25" s="249"/>
      <c r="H25" s="269"/>
      <c r="I25" s="277"/>
      <c r="J25" s="278"/>
      <c r="K25" s="249"/>
      <c r="L25" s="57"/>
      <c r="M25" s="240"/>
      <c r="N25" s="249"/>
      <c r="O25" s="249"/>
      <c r="P25" s="249"/>
      <c r="Q25" s="249"/>
      <c r="R25" s="249"/>
      <c r="S25" s="249"/>
      <c r="T25" s="271"/>
      <c r="U25" s="272"/>
    </row>
    <row r="26" spans="1:22" x14ac:dyDescent="0.2">
      <c r="B26" s="227"/>
      <c r="C26" s="240"/>
      <c r="D26" s="240"/>
      <c r="E26" s="244"/>
      <c r="F26" s="245"/>
      <c r="G26" s="249"/>
      <c r="H26" s="274">
        <v>0.05</v>
      </c>
      <c r="I26" s="274">
        <v>0.1</v>
      </c>
      <c r="J26" s="274">
        <v>0.25</v>
      </c>
      <c r="K26" s="249"/>
      <c r="L26" s="57"/>
      <c r="M26" s="240"/>
      <c r="N26" s="249"/>
      <c r="O26" s="249"/>
      <c r="P26" s="249"/>
      <c r="Q26" s="249"/>
      <c r="R26" s="249"/>
      <c r="S26" s="249"/>
      <c r="T26" s="271"/>
      <c r="U26" s="272"/>
    </row>
    <row r="27" spans="1:22" x14ac:dyDescent="0.2">
      <c r="B27" s="228"/>
      <c r="C27" s="241"/>
      <c r="D27" s="241"/>
      <c r="E27" s="246"/>
      <c r="F27" s="247"/>
      <c r="G27" s="250"/>
      <c r="H27" s="241"/>
      <c r="I27" s="241"/>
      <c r="J27" s="241"/>
      <c r="K27" s="250"/>
      <c r="L27" s="58"/>
      <c r="M27" s="241"/>
      <c r="N27" s="250"/>
      <c r="O27" s="250"/>
      <c r="P27" s="250"/>
      <c r="Q27" s="250"/>
      <c r="R27" s="250"/>
      <c r="S27" s="250"/>
      <c r="T27" s="271"/>
      <c r="U27" s="272"/>
    </row>
    <row r="28" spans="1:22" x14ac:dyDescent="0.2">
      <c r="A28" t="s">
        <v>608</v>
      </c>
      <c r="B28" s="60">
        <v>1</v>
      </c>
      <c r="C28" s="60">
        <v>2</v>
      </c>
      <c r="D28" s="60">
        <v>3</v>
      </c>
      <c r="E28" s="267">
        <v>4</v>
      </c>
      <c r="F28" s="273"/>
      <c r="G28" s="60">
        <v>5</v>
      </c>
      <c r="H28" s="60">
        <v>6</v>
      </c>
      <c r="I28" s="60">
        <v>7</v>
      </c>
      <c r="J28" s="60">
        <v>8</v>
      </c>
      <c r="K28" s="60">
        <v>9</v>
      </c>
      <c r="L28" s="60"/>
      <c r="M28" s="3" t="s">
        <v>0</v>
      </c>
      <c r="N28" s="3">
        <v>11</v>
      </c>
      <c r="O28" s="62">
        <v>12</v>
      </c>
      <c r="P28" s="3">
        <v>13</v>
      </c>
      <c r="Q28" s="62">
        <v>14</v>
      </c>
      <c r="R28" s="3">
        <v>15</v>
      </c>
      <c r="S28" s="62">
        <v>16</v>
      </c>
      <c r="T28" s="271"/>
      <c r="U28" s="272"/>
      <c r="V28" s="134" t="s">
        <v>581</v>
      </c>
    </row>
    <row r="29" spans="1:22" x14ac:dyDescent="0.2">
      <c r="A29" s="134"/>
      <c r="B29" s="3"/>
      <c r="C29" s="159"/>
      <c r="D29" s="149"/>
      <c r="E29" s="141"/>
      <c r="F29" s="2"/>
      <c r="G29" s="95"/>
      <c r="H29" s="2"/>
      <c r="I29" s="2"/>
      <c r="J29" s="142">
        <f>+V29*U29</f>
        <v>0</v>
      </c>
      <c r="K29" s="33">
        <f>J29+M29</f>
        <v>0</v>
      </c>
      <c r="L29" s="38"/>
      <c r="M29" s="152">
        <f>SUM(N29:S29)</f>
        <v>0</v>
      </c>
      <c r="N29" s="2"/>
      <c r="O29" s="2"/>
      <c r="P29" s="2"/>
      <c r="Q29" s="2"/>
      <c r="R29" s="33">
        <f>J29*0.25</f>
        <v>0</v>
      </c>
      <c r="S29" s="2"/>
      <c r="T29" s="88" t="s">
        <v>604</v>
      </c>
      <c r="U29" s="143"/>
    </row>
    <row r="30" spans="1:22" x14ac:dyDescent="0.2">
      <c r="A30" s="134">
        <v>106</v>
      </c>
      <c r="B30" s="5">
        <v>19</v>
      </c>
      <c r="C30" s="102">
        <v>6278895</v>
      </c>
      <c r="D30" s="44">
        <v>44881</v>
      </c>
      <c r="E30" s="141" t="s">
        <v>636</v>
      </c>
      <c r="F30" s="2" t="s">
        <v>637</v>
      </c>
      <c r="G30" s="95" t="s">
        <v>638</v>
      </c>
      <c r="H30" s="2"/>
      <c r="I30" s="2"/>
      <c r="J30" s="142">
        <f>+V30*U30</f>
        <v>851.49127999999996</v>
      </c>
      <c r="K30" s="33">
        <f>J30+M30</f>
        <v>1064.3641</v>
      </c>
      <c r="L30" s="38"/>
      <c r="M30" s="152">
        <f>SUM(N30:S30)</f>
        <v>212.87281999999999</v>
      </c>
      <c r="N30" s="2"/>
      <c r="O30" s="2"/>
      <c r="P30" s="2"/>
      <c r="Q30" s="2"/>
      <c r="R30" s="33">
        <f>J30*0.25</f>
        <v>212.87281999999999</v>
      </c>
      <c r="S30" s="2"/>
      <c r="T30" s="88" t="s">
        <v>604</v>
      </c>
      <c r="U30" s="143">
        <v>7.5439999999999996</v>
      </c>
      <c r="V30">
        <v>112.87</v>
      </c>
    </row>
    <row r="31" spans="1:22" x14ac:dyDescent="0.2">
      <c r="A31" s="164">
        <v>113</v>
      </c>
      <c r="B31" s="5">
        <v>20</v>
      </c>
      <c r="C31" s="102">
        <v>13507</v>
      </c>
      <c r="D31" s="44">
        <v>44897</v>
      </c>
      <c r="E31" s="141" t="s">
        <v>613</v>
      </c>
      <c r="F31" s="2" t="s">
        <v>614</v>
      </c>
      <c r="G31" s="95" t="s">
        <v>615</v>
      </c>
      <c r="H31" s="2"/>
      <c r="I31" s="2"/>
      <c r="J31" s="142">
        <f>+V31*U31</f>
        <v>2616.9054999999998</v>
      </c>
      <c r="K31" s="33">
        <f>J31+M31</f>
        <v>3271.131875</v>
      </c>
      <c r="L31" s="38"/>
      <c r="M31" s="152">
        <f>SUM(N31:S31)</f>
        <v>654.22637499999996</v>
      </c>
      <c r="N31" s="2"/>
      <c r="O31" s="2"/>
      <c r="P31" s="2"/>
      <c r="Q31" s="2"/>
      <c r="R31" s="33">
        <f>J31*0.25</f>
        <v>654.22637499999996</v>
      </c>
      <c r="S31" s="2"/>
      <c r="T31" s="88" t="s">
        <v>604</v>
      </c>
      <c r="U31" s="143">
        <v>7.55</v>
      </c>
      <c r="V31">
        <v>346.61</v>
      </c>
    </row>
    <row r="32" spans="1:22" x14ac:dyDescent="0.2">
      <c r="A32" s="164"/>
      <c r="B32" s="5"/>
      <c r="C32" s="102"/>
      <c r="D32" s="44"/>
      <c r="E32" s="141"/>
      <c r="F32" s="2"/>
      <c r="G32" s="95"/>
      <c r="H32" s="2"/>
      <c r="I32" s="2"/>
      <c r="J32" s="142">
        <f t="shared" ref="J32:J51" si="0">+V32*U32</f>
        <v>0</v>
      </c>
      <c r="K32" s="33">
        <f t="shared" ref="K32:K51" si="1">J32+M32</f>
        <v>0</v>
      </c>
      <c r="L32" s="38"/>
      <c r="M32" s="152">
        <f t="shared" ref="M32:M51" si="2">SUM(N32:S32)</f>
        <v>0</v>
      </c>
      <c r="N32" s="2"/>
      <c r="O32" s="2"/>
      <c r="P32" s="2"/>
      <c r="Q32" s="2"/>
      <c r="R32" s="33">
        <f t="shared" ref="R32:R51" si="3">J32*0.25</f>
        <v>0</v>
      </c>
      <c r="S32" s="2"/>
      <c r="T32" s="88" t="s">
        <v>604</v>
      </c>
      <c r="U32" s="143">
        <v>7.5190000000000001</v>
      </c>
    </row>
    <row r="33" spans="1:21" x14ac:dyDescent="0.2">
      <c r="A33" s="164"/>
      <c r="B33" s="5"/>
      <c r="C33" s="102"/>
      <c r="D33" s="44"/>
      <c r="E33" s="141"/>
      <c r="F33" s="2"/>
      <c r="G33" s="95"/>
      <c r="H33" s="2"/>
      <c r="I33" s="2"/>
      <c r="J33" s="142">
        <f t="shared" si="0"/>
        <v>0</v>
      </c>
      <c r="K33" s="33">
        <f t="shared" si="1"/>
        <v>0</v>
      </c>
      <c r="L33" s="38"/>
      <c r="M33" s="152">
        <f t="shared" si="2"/>
        <v>0</v>
      </c>
      <c r="N33" s="2"/>
      <c r="O33" s="2"/>
      <c r="P33" s="2"/>
      <c r="Q33" s="2"/>
      <c r="R33" s="33">
        <f t="shared" si="3"/>
        <v>0</v>
      </c>
      <c r="S33" s="2"/>
      <c r="T33" s="88" t="s">
        <v>604</v>
      </c>
      <c r="U33" s="143"/>
    </row>
    <row r="34" spans="1:21" x14ac:dyDescent="0.2">
      <c r="A34" s="164"/>
      <c r="B34" s="5"/>
      <c r="C34" s="102"/>
      <c r="D34" s="44"/>
      <c r="E34" s="141"/>
      <c r="F34" s="2"/>
      <c r="G34" s="95"/>
      <c r="H34" s="2"/>
      <c r="I34" s="2"/>
      <c r="J34" s="142">
        <f t="shared" si="0"/>
        <v>0</v>
      </c>
      <c r="K34" s="33">
        <f t="shared" si="1"/>
        <v>0</v>
      </c>
      <c r="L34" s="38"/>
      <c r="M34" s="152">
        <f t="shared" si="2"/>
        <v>0</v>
      </c>
      <c r="N34" s="2"/>
      <c r="O34" s="2"/>
      <c r="P34" s="2"/>
      <c r="Q34" s="2"/>
      <c r="R34" s="33">
        <f t="shared" si="3"/>
        <v>0</v>
      </c>
      <c r="S34" s="2"/>
      <c r="T34" s="88" t="s">
        <v>604</v>
      </c>
      <c r="U34" s="143">
        <v>7.5289999999999999</v>
      </c>
    </row>
    <row r="35" spans="1:21" x14ac:dyDescent="0.2">
      <c r="A35" s="164"/>
      <c r="B35" s="5"/>
      <c r="C35" s="102"/>
      <c r="D35" s="44"/>
      <c r="E35" s="141"/>
      <c r="F35" s="2"/>
      <c r="G35" s="95"/>
      <c r="H35" s="2"/>
      <c r="I35" s="2"/>
      <c r="J35" s="142"/>
      <c r="K35" s="33">
        <f t="shared" si="1"/>
        <v>0</v>
      </c>
      <c r="L35" s="38"/>
      <c r="M35" s="152">
        <f t="shared" si="2"/>
        <v>0</v>
      </c>
      <c r="N35" s="2"/>
      <c r="O35" s="2"/>
      <c r="P35" s="2"/>
      <c r="Q35" s="2"/>
      <c r="R35" s="33">
        <f t="shared" si="3"/>
        <v>0</v>
      </c>
      <c r="S35" s="2"/>
      <c r="T35" s="88" t="s">
        <v>604</v>
      </c>
      <c r="U35" s="143">
        <v>7.5439999999999996</v>
      </c>
    </row>
    <row r="36" spans="1:21" x14ac:dyDescent="0.2">
      <c r="A36" s="164"/>
      <c r="B36" s="5"/>
      <c r="C36" s="141"/>
      <c r="D36" s="44"/>
      <c r="E36" s="141"/>
      <c r="F36" s="2"/>
      <c r="G36" s="95"/>
      <c r="H36" s="2"/>
      <c r="I36" s="2"/>
      <c r="J36" s="142">
        <f t="shared" si="0"/>
        <v>0</v>
      </c>
      <c r="K36" s="33">
        <f t="shared" si="1"/>
        <v>0</v>
      </c>
      <c r="L36" s="38"/>
      <c r="M36" s="152">
        <f t="shared" si="2"/>
        <v>0</v>
      </c>
      <c r="N36" s="2"/>
      <c r="O36" s="2"/>
      <c r="P36" s="2"/>
      <c r="Q36" s="2"/>
      <c r="R36" s="33">
        <f t="shared" si="3"/>
        <v>0</v>
      </c>
      <c r="S36" s="2"/>
      <c r="T36" s="88" t="s">
        <v>604</v>
      </c>
      <c r="U36" s="143">
        <v>7.5640000000000001</v>
      </c>
    </row>
    <row r="37" spans="1:21" x14ac:dyDescent="0.2">
      <c r="A37" s="164"/>
      <c r="B37" s="5"/>
      <c r="C37" s="102"/>
      <c r="D37" s="44"/>
      <c r="E37" s="141"/>
      <c r="F37" s="2"/>
      <c r="G37" s="95"/>
      <c r="H37" s="2"/>
      <c r="I37" s="2"/>
      <c r="J37" s="142">
        <f t="shared" si="0"/>
        <v>0</v>
      </c>
      <c r="K37" s="33">
        <f t="shared" si="1"/>
        <v>0</v>
      </c>
      <c r="L37" s="38"/>
      <c r="M37" s="152">
        <f t="shared" si="2"/>
        <v>0</v>
      </c>
      <c r="N37" s="2"/>
      <c r="O37" s="2"/>
      <c r="P37" s="2"/>
      <c r="Q37" s="2"/>
      <c r="R37" s="33">
        <f t="shared" si="3"/>
        <v>0</v>
      </c>
      <c r="S37" s="2"/>
      <c r="T37" s="88" t="s">
        <v>604</v>
      </c>
      <c r="U37" s="143">
        <v>7.569</v>
      </c>
    </row>
    <row r="38" spans="1:21" x14ac:dyDescent="0.2">
      <c r="A38" s="164"/>
      <c r="B38" s="5"/>
      <c r="C38" s="102"/>
      <c r="D38" s="44"/>
      <c r="E38" s="141"/>
      <c r="F38" s="2"/>
      <c r="G38" s="95"/>
      <c r="H38" s="2"/>
      <c r="I38" s="2"/>
      <c r="J38" s="142">
        <f t="shared" si="0"/>
        <v>0</v>
      </c>
      <c r="K38" s="33">
        <f t="shared" si="1"/>
        <v>0</v>
      </c>
      <c r="L38" s="38"/>
      <c r="M38" s="152">
        <f t="shared" si="2"/>
        <v>0</v>
      </c>
      <c r="N38" s="2"/>
      <c r="O38" s="2"/>
      <c r="P38" s="2"/>
      <c r="Q38" s="2"/>
      <c r="R38" s="33">
        <f t="shared" si="3"/>
        <v>0</v>
      </c>
      <c r="S38" s="2"/>
      <c r="T38" s="88" t="s">
        <v>604</v>
      </c>
      <c r="U38" s="143">
        <v>7.5679999999999996</v>
      </c>
    </row>
    <row r="39" spans="1:21" x14ac:dyDescent="0.2">
      <c r="A39" s="164"/>
      <c r="B39" s="5"/>
      <c r="C39" s="102"/>
      <c r="D39" s="44"/>
      <c r="E39" s="141"/>
      <c r="F39" s="2"/>
      <c r="G39" s="95"/>
      <c r="H39" s="2"/>
      <c r="I39" s="2"/>
      <c r="J39" s="142">
        <f t="shared" si="0"/>
        <v>0</v>
      </c>
      <c r="K39" s="33">
        <f t="shared" si="1"/>
        <v>0</v>
      </c>
      <c r="L39" s="38"/>
      <c r="M39" s="152">
        <f t="shared" si="2"/>
        <v>0</v>
      </c>
      <c r="N39" s="2"/>
      <c r="O39" s="2"/>
      <c r="P39" s="2"/>
      <c r="Q39" s="2"/>
      <c r="R39" s="33">
        <f t="shared" si="3"/>
        <v>0</v>
      </c>
      <c r="S39" s="2"/>
      <c r="T39" s="88" t="s">
        <v>604</v>
      </c>
      <c r="U39" s="143">
        <v>7.5720000000000001</v>
      </c>
    </row>
    <row r="40" spans="1:21" x14ac:dyDescent="0.2">
      <c r="A40" s="165"/>
      <c r="B40" s="5"/>
      <c r="C40" s="102"/>
      <c r="D40" s="44"/>
      <c r="E40" s="141"/>
      <c r="F40" s="2"/>
      <c r="G40" s="95"/>
      <c r="H40" s="2"/>
      <c r="I40" s="2"/>
      <c r="J40" s="142"/>
      <c r="K40" s="33"/>
      <c r="L40" s="38"/>
      <c r="M40" s="152"/>
      <c r="N40" s="2"/>
      <c r="O40" s="2"/>
      <c r="P40" s="2"/>
      <c r="Q40" s="2"/>
      <c r="R40" s="33"/>
      <c r="S40" s="2"/>
      <c r="T40" s="88"/>
      <c r="U40" s="143"/>
    </row>
    <row r="41" spans="1:21" x14ac:dyDescent="0.2">
      <c r="A41" s="164"/>
      <c r="B41" s="5"/>
      <c r="C41" s="102"/>
      <c r="D41" s="44"/>
      <c r="E41" s="141"/>
      <c r="F41" s="2"/>
      <c r="G41" s="95"/>
      <c r="H41" s="2"/>
      <c r="I41" s="2"/>
      <c r="J41" s="142">
        <f t="shared" si="0"/>
        <v>0</v>
      </c>
      <c r="K41" s="33">
        <f t="shared" si="1"/>
        <v>0</v>
      </c>
      <c r="L41" s="38"/>
      <c r="M41" s="152">
        <f t="shared" si="2"/>
        <v>0</v>
      </c>
      <c r="N41" s="2"/>
      <c r="O41" s="2"/>
      <c r="P41" s="2"/>
      <c r="Q41" s="2"/>
      <c r="R41" s="33">
        <f t="shared" si="3"/>
        <v>0</v>
      </c>
      <c r="S41" s="2"/>
      <c r="T41" s="88" t="s">
        <v>604</v>
      </c>
      <c r="U41" s="143">
        <v>7.5469999999999997</v>
      </c>
    </row>
    <row r="42" spans="1:21" x14ac:dyDescent="0.2">
      <c r="A42" s="164"/>
      <c r="B42" s="5"/>
      <c r="C42" s="102"/>
      <c r="D42" s="44"/>
      <c r="E42" s="141"/>
      <c r="F42" s="2"/>
      <c r="G42" s="95"/>
      <c r="H42" s="2"/>
      <c r="I42" s="2"/>
      <c r="J42" s="142">
        <f t="shared" si="0"/>
        <v>0</v>
      </c>
      <c r="K42" s="33">
        <f t="shared" si="1"/>
        <v>0</v>
      </c>
      <c r="L42" s="38"/>
      <c r="M42" s="152">
        <f t="shared" si="2"/>
        <v>0</v>
      </c>
      <c r="N42" s="2"/>
      <c r="O42" s="2"/>
      <c r="P42" s="2"/>
      <c r="Q42" s="2"/>
      <c r="R42" s="33">
        <f t="shared" si="3"/>
        <v>0</v>
      </c>
      <c r="S42" s="2"/>
      <c r="T42" s="88" t="s">
        <v>604</v>
      </c>
      <c r="U42" s="143">
        <v>7.5629999999999997</v>
      </c>
    </row>
    <row r="43" spans="1:21" x14ac:dyDescent="0.2">
      <c r="A43" s="164"/>
      <c r="B43" s="5"/>
      <c r="C43" s="102"/>
      <c r="D43" s="44"/>
      <c r="E43" s="141"/>
      <c r="F43" s="2"/>
      <c r="G43" s="95"/>
      <c r="H43" s="2"/>
      <c r="I43" s="2"/>
      <c r="J43" s="142">
        <f t="shared" si="0"/>
        <v>0</v>
      </c>
      <c r="K43" s="33">
        <f t="shared" si="1"/>
        <v>0</v>
      </c>
      <c r="L43" s="38"/>
      <c r="M43" s="152">
        <f t="shared" si="2"/>
        <v>0</v>
      </c>
      <c r="N43" s="2"/>
      <c r="O43" s="2"/>
      <c r="P43" s="2"/>
      <c r="Q43" s="2"/>
      <c r="R43" s="33">
        <f t="shared" si="3"/>
        <v>0</v>
      </c>
      <c r="S43" s="2"/>
      <c r="T43" s="88" t="s">
        <v>604</v>
      </c>
      <c r="U43" s="143">
        <v>7.5629999999999997</v>
      </c>
    </row>
    <row r="44" spans="1:21" x14ac:dyDescent="0.2">
      <c r="A44" s="164"/>
      <c r="B44" s="5"/>
      <c r="C44" s="102"/>
      <c r="D44" s="44"/>
      <c r="E44" s="141"/>
      <c r="F44" s="2"/>
      <c r="G44" s="95"/>
      <c r="H44" s="2"/>
      <c r="I44" s="2"/>
      <c r="J44" s="142">
        <f t="shared" si="0"/>
        <v>0</v>
      </c>
      <c r="K44" s="33">
        <f t="shared" si="1"/>
        <v>0</v>
      </c>
      <c r="L44" s="38"/>
      <c r="M44" s="152">
        <f t="shared" si="2"/>
        <v>0</v>
      </c>
      <c r="N44" s="2"/>
      <c r="O44" s="2"/>
      <c r="P44" s="2"/>
      <c r="Q44" s="2"/>
      <c r="R44" s="33">
        <f t="shared" si="3"/>
        <v>0</v>
      </c>
      <c r="S44" s="2"/>
      <c r="T44" s="88" t="s">
        <v>604</v>
      </c>
      <c r="U44" s="143">
        <v>7.5629999999999997</v>
      </c>
    </row>
    <row r="45" spans="1:21" x14ac:dyDescent="0.2">
      <c r="A45" s="164"/>
      <c r="B45" s="5"/>
      <c r="C45" s="102"/>
      <c r="D45" s="44"/>
      <c r="E45" s="141"/>
      <c r="F45" s="2"/>
      <c r="G45" s="95"/>
      <c r="H45" s="2"/>
      <c r="I45" s="2"/>
      <c r="J45" s="142">
        <f t="shared" si="0"/>
        <v>0</v>
      </c>
      <c r="K45" s="33">
        <f t="shared" si="1"/>
        <v>0</v>
      </c>
      <c r="L45" s="38"/>
      <c r="M45" s="152">
        <f t="shared" si="2"/>
        <v>0</v>
      </c>
      <c r="N45" s="2"/>
      <c r="O45" s="2"/>
      <c r="P45" s="2"/>
      <c r="Q45" s="2"/>
      <c r="R45" s="33">
        <f t="shared" si="3"/>
        <v>0</v>
      </c>
      <c r="S45" s="2"/>
      <c r="T45" s="88" t="s">
        <v>604</v>
      </c>
      <c r="U45" s="143"/>
    </row>
    <row r="46" spans="1:21" x14ac:dyDescent="0.2">
      <c r="A46" s="164"/>
      <c r="B46" s="5"/>
      <c r="C46" s="102"/>
      <c r="D46" s="44"/>
      <c r="E46" s="141"/>
      <c r="F46" s="2"/>
      <c r="G46" s="95"/>
      <c r="H46" s="2"/>
      <c r="I46" s="2"/>
      <c r="J46" s="142">
        <f t="shared" si="0"/>
        <v>0</v>
      </c>
      <c r="K46" s="33">
        <f t="shared" si="1"/>
        <v>0</v>
      </c>
      <c r="L46" s="38"/>
      <c r="M46" s="152">
        <f t="shared" si="2"/>
        <v>0</v>
      </c>
      <c r="N46" s="2"/>
      <c r="O46" s="2"/>
      <c r="P46" s="2"/>
      <c r="Q46" s="2"/>
      <c r="R46" s="33">
        <f t="shared" si="3"/>
        <v>0</v>
      </c>
      <c r="S46" s="2"/>
      <c r="T46" s="88" t="s">
        <v>604</v>
      </c>
      <c r="U46" s="143">
        <v>7.524</v>
      </c>
    </row>
    <row r="47" spans="1:21" x14ac:dyDescent="0.2">
      <c r="A47" s="164"/>
      <c r="B47" s="5"/>
      <c r="C47" s="102"/>
      <c r="D47" s="44"/>
      <c r="E47" s="141"/>
      <c r="F47" s="2"/>
      <c r="G47" s="95"/>
      <c r="H47" s="2"/>
      <c r="I47" s="2"/>
      <c r="J47" s="142">
        <f t="shared" si="0"/>
        <v>0</v>
      </c>
      <c r="K47" s="33">
        <f t="shared" si="1"/>
        <v>0</v>
      </c>
      <c r="L47" s="38"/>
      <c r="M47" s="152">
        <f t="shared" si="2"/>
        <v>0</v>
      </c>
      <c r="N47" s="2"/>
      <c r="O47" s="2"/>
      <c r="P47" s="2"/>
      <c r="Q47" s="2"/>
      <c r="R47" s="33">
        <f t="shared" si="3"/>
        <v>0</v>
      </c>
      <c r="S47" s="2"/>
      <c r="T47" s="88" t="s">
        <v>604</v>
      </c>
      <c r="U47" s="143"/>
    </row>
    <row r="48" spans="1:21" x14ac:dyDescent="0.2">
      <c r="A48" s="164"/>
      <c r="B48" s="5"/>
      <c r="C48" s="102"/>
      <c r="D48" s="44"/>
      <c r="E48" s="141"/>
      <c r="F48" s="2"/>
      <c r="G48" s="95"/>
      <c r="H48" s="2"/>
      <c r="I48" s="2"/>
      <c r="J48" s="142">
        <f t="shared" si="0"/>
        <v>0</v>
      </c>
      <c r="K48" s="33">
        <f t="shared" si="1"/>
        <v>0</v>
      </c>
      <c r="L48" s="38"/>
      <c r="M48" s="152">
        <f t="shared" si="2"/>
        <v>0</v>
      </c>
      <c r="N48" s="2"/>
      <c r="O48" s="2"/>
      <c r="P48" s="2"/>
      <c r="Q48" s="2"/>
      <c r="R48" s="33">
        <f t="shared" si="3"/>
        <v>0</v>
      </c>
      <c r="S48" s="2"/>
      <c r="T48" s="88" t="s">
        <v>604</v>
      </c>
      <c r="U48" s="143"/>
    </row>
    <row r="49" spans="1:22" x14ac:dyDescent="0.2">
      <c r="A49" s="134"/>
      <c r="B49" s="5"/>
      <c r="C49" s="5"/>
      <c r="D49" s="5"/>
      <c r="E49" s="2"/>
      <c r="F49" s="2"/>
      <c r="G49" s="5"/>
      <c r="H49" s="2"/>
      <c r="I49" s="2"/>
      <c r="J49" s="142">
        <f t="shared" si="0"/>
        <v>0</v>
      </c>
      <c r="K49" s="33">
        <f t="shared" si="1"/>
        <v>0</v>
      </c>
      <c r="L49" s="38"/>
      <c r="M49" s="152">
        <f t="shared" si="2"/>
        <v>0</v>
      </c>
      <c r="N49" s="2"/>
      <c r="O49" s="2"/>
      <c r="P49" s="2"/>
      <c r="Q49" s="2"/>
      <c r="R49" s="33">
        <f t="shared" si="3"/>
        <v>0</v>
      </c>
      <c r="S49" s="2"/>
      <c r="T49" s="88" t="s">
        <v>604</v>
      </c>
      <c r="U49" s="143">
        <v>7.5670000000000002</v>
      </c>
    </row>
    <row r="50" spans="1:22" x14ac:dyDescent="0.2">
      <c r="A50" s="134"/>
      <c r="B50" s="5"/>
      <c r="C50" s="5"/>
      <c r="D50" s="5"/>
      <c r="E50" s="2"/>
      <c r="F50" s="2"/>
      <c r="G50" s="5"/>
      <c r="H50" s="2"/>
      <c r="I50" s="2"/>
      <c r="J50" s="142">
        <f t="shared" si="0"/>
        <v>0</v>
      </c>
      <c r="K50" s="33">
        <f t="shared" si="1"/>
        <v>0</v>
      </c>
      <c r="L50" s="38"/>
      <c r="M50" s="152">
        <f t="shared" si="2"/>
        <v>0</v>
      </c>
      <c r="N50" s="2"/>
      <c r="O50" s="2"/>
      <c r="P50" s="2"/>
      <c r="Q50" s="2"/>
      <c r="R50" s="33">
        <f t="shared" si="3"/>
        <v>0</v>
      </c>
      <c r="S50" s="2"/>
      <c r="T50" s="88" t="s">
        <v>604</v>
      </c>
      <c r="U50" s="143">
        <v>7.5670000000000002</v>
      </c>
    </row>
    <row r="51" spans="1:22" x14ac:dyDescent="0.2">
      <c r="A51" s="134"/>
      <c r="B51" s="5"/>
      <c r="C51" s="5"/>
      <c r="D51" s="44"/>
      <c r="E51" s="2"/>
      <c r="F51" s="2"/>
      <c r="G51" s="5"/>
      <c r="H51" s="2"/>
      <c r="I51" s="2"/>
      <c r="J51" s="142">
        <f t="shared" si="0"/>
        <v>0</v>
      </c>
      <c r="K51" s="33">
        <f t="shared" si="1"/>
        <v>0</v>
      </c>
      <c r="L51" s="38"/>
      <c r="M51" s="152">
        <f t="shared" si="2"/>
        <v>0</v>
      </c>
      <c r="N51" s="2"/>
      <c r="O51" s="2"/>
      <c r="P51" s="2"/>
      <c r="Q51" s="2"/>
      <c r="R51" s="33">
        <f t="shared" si="3"/>
        <v>0</v>
      </c>
      <c r="S51" s="2"/>
      <c r="T51" s="88" t="s">
        <v>604</v>
      </c>
      <c r="U51" s="143">
        <v>7.5670000000000002</v>
      </c>
    </row>
    <row r="52" spans="1:22" x14ac:dyDescent="0.2">
      <c r="B52" s="88"/>
      <c r="J52" s="39">
        <f>SUM(J29:J50)</f>
        <v>3468.39678</v>
      </c>
      <c r="K52" s="39">
        <f>SUM(K29:K50)</f>
        <v>4335.4959749999998</v>
      </c>
      <c r="L52" s="39"/>
      <c r="R52" s="39">
        <f>SUM(R29:R51)</f>
        <v>867.09919500000001</v>
      </c>
      <c r="T52" s="88"/>
    </row>
    <row r="53" spans="1:22" x14ac:dyDescent="0.2">
      <c r="B53" s="88"/>
      <c r="T53" s="88"/>
    </row>
    <row r="54" spans="1:22" x14ac:dyDescent="0.2">
      <c r="T54" s="5" t="s">
        <v>607</v>
      </c>
      <c r="U54" s="39"/>
      <c r="V54" s="39"/>
    </row>
    <row r="55" spans="1:22" x14ac:dyDescent="0.2">
      <c r="U55" s="39"/>
      <c r="V55" s="39"/>
    </row>
  </sheetData>
  <mergeCells count="38"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T19:T28"/>
    <mergeCell ref="U19:U28"/>
    <mergeCell ref="E28:F28"/>
    <mergeCell ref="M21:M27"/>
    <mergeCell ref="Q23:Q27"/>
    <mergeCell ref="R23:R27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111"/>
  <sheetViews>
    <sheetView tabSelected="1" topLeftCell="A15" zoomScale="85" zoomScaleNormal="85" workbookViewId="0">
      <selection activeCell="T83" sqref="T83"/>
    </sheetView>
  </sheetViews>
  <sheetFormatPr baseColWidth="10" defaultColWidth="9" defaultRowHeight="12.75" x14ac:dyDescent="0.2"/>
  <cols>
    <col min="3" max="3" width="19.75" bestFit="1" customWidth="1"/>
    <col min="4" max="4" width="11.75" customWidth="1"/>
    <col min="5" max="5" width="17.625" bestFit="1" customWidth="1"/>
    <col min="6" max="6" width="41.75" customWidth="1"/>
    <col min="7" max="7" width="16.625" customWidth="1"/>
    <col min="10" max="10" width="14.375" customWidth="1"/>
    <col min="11" max="11" width="12.75" customWidth="1"/>
    <col min="12" max="12" width="33.625" hidden="1" customWidth="1"/>
    <col min="13" max="13" width="23" customWidth="1"/>
    <col min="14" max="17" width="10" customWidth="1"/>
    <col min="18" max="18" width="14.125" customWidth="1"/>
    <col min="19" max="19" width="10" customWidth="1"/>
  </cols>
  <sheetData>
    <row r="1" spans="1:18" x14ac:dyDescent="0.2">
      <c r="A1" s="254" t="str">
        <f>NASLOV!B5</f>
        <v>Markus Renz</v>
      </c>
      <c r="B1" s="254"/>
      <c r="C1" s="254"/>
      <c r="D1" s="254"/>
      <c r="E1" s="254"/>
      <c r="F1" s="254"/>
    </row>
    <row r="2" spans="1:18" x14ac:dyDescent="0.2">
      <c r="A2" s="254"/>
      <c r="B2" s="254"/>
      <c r="C2" s="254"/>
      <c r="D2" s="254"/>
      <c r="E2" s="254"/>
      <c r="F2" s="254"/>
    </row>
    <row r="3" spans="1:18" x14ac:dyDescent="0.2">
      <c r="C3" s="252" t="str">
        <f>INDEX(PRIJEVODI!B:D,MATCH("URA-001",PRIJEVODI!A:A,0),MATCH(NASLOV!$B$2,PRIJEVODI!$B$1:$D$1,0))</f>
        <v>STEUERPFLICHTIGER: NAME / NACHNAME</v>
      </c>
      <c r="D3" s="252"/>
      <c r="E3" s="252"/>
      <c r="F3" s="252"/>
      <c r="Q3" s="257"/>
      <c r="R3" s="257"/>
    </row>
    <row r="4" spans="1:18" x14ac:dyDescent="0.2">
      <c r="C4" s="253" t="str">
        <f>NASLOV!B7</f>
        <v>Am Sonnblick 6, Lichtenau</v>
      </c>
      <c r="D4" s="253"/>
      <c r="E4" s="253"/>
      <c r="F4" s="253"/>
    </row>
    <row r="5" spans="1:18" x14ac:dyDescent="0.2">
      <c r="C5" s="253"/>
      <c r="D5" s="253"/>
      <c r="E5" s="253"/>
      <c r="F5" s="253"/>
    </row>
    <row r="6" spans="1:18" x14ac:dyDescent="0.2">
      <c r="C6" s="252" t="str">
        <f>INDEX(PRIJEVODI!B:D,MATCH("URA-002",PRIJEVODI!A:A,0),MATCH(NASLOV!$B$2,PRIJEVODI!$B$1:$D$1,0))</f>
        <v>ADRESSE: ORT, STRASSE UND HAUSNUMMER</v>
      </c>
      <c r="D6" s="252"/>
      <c r="E6" s="252"/>
      <c r="F6" s="252"/>
    </row>
    <row r="7" spans="1:18" x14ac:dyDescent="0.2">
      <c r="C7" s="255"/>
      <c r="D7" s="255"/>
      <c r="E7" s="255"/>
      <c r="F7" s="255"/>
    </row>
    <row r="8" spans="1:18" x14ac:dyDescent="0.2">
      <c r="C8" s="255"/>
      <c r="D8" s="255"/>
      <c r="E8" s="255"/>
      <c r="F8" s="255"/>
    </row>
    <row r="9" spans="1:18" x14ac:dyDescent="0.2">
      <c r="C9" s="252" t="str">
        <f>INDEX(PRIJEVODI!B:D,MATCH("URA-003",PRIJEVODI!A:A,0),MATCH(NASLOV!$B$2,PRIJEVODI!$B$1:$D$1,0))</f>
        <v xml:space="preserve">NUMMERIERUNG GEMÄSS DEM NATIONALEN KLASSIFIZIERUNGSSYSTEM  </v>
      </c>
      <c r="D9" s="252"/>
      <c r="E9" s="252"/>
      <c r="F9" s="252"/>
    </row>
    <row r="10" spans="1:18" x14ac:dyDescent="0.2">
      <c r="C10" s="252"/>
      <c r="D10" s="252"/>
      <c r="E10" s="252"/>
      <c r="F10" s="252"/>
    </row>
    <row r="11" spans="1:18" x14ac:dyDescent="0.2">
      <c r="C11" s="253" t="str">
        <f>NASLOV!B9</f>
        <v>HR6411581446</v>
      </c>
      <c r="D11" s="253"/>
      <c r="E11" s="253"/>
      <c r="F11" s="253"/>
    </row>
    <row r="12" spans="1:18" x14ac:dyDescent="0.2">
      <c r="C12" s="253"/>
      <c r="D12" s="253"/>
      <c r="E12" s="253"/>
      <c r="F12" s="253"/>
    </row>
    <row r="13" spans="1:18" x14ac:dyDescent="0.2">
      <c r="C13" s="252" t="str">
        <f>INDEX(PRIJEVODI!B:D,MATCH("URA-004",PRIJEVODI!A:A,0),MATCH(NASLOV!$B$2,PRIJEVODI!$B$1:$D$1,0))</f>
        <v>STEUERNUMMER (UID)</v>
      </c>
      <c r="D13" s="252"/>
      <c r="E13" s="252"/>
      <c r="F13" s="252"/>
    </row>
    <row r="15" spans="1:18" x14ac:dyDescent="0.2">
      <c r="G15" s="256" t="str">
        <f>INDEX(PRIJEVODI!B:D,MATCH("URA-005",PRIJEVODI!A:A,0),MATCH(NASLOV!$B$2,PRIJEVODI!$B$1:$D$1,0))</f>
        <v>EINGANGSRECHNUNGBUCH</v>
      </c>
      <c r="H15" s="257"/>
      <c r="I15" s="257"/>
      <c r="J15" s="257"/>
      <c r="K15" s="257"/>
      <c r="L15" s="251" t="s">
        <v>580</v>
      </c>
    </row>
    <row r="16" spans="1:18" x14ac:dyDescent="0.2">
      <c r="G16" s="257"/>
      <c r="H16" s="257"/>
      <c r="I16" s="257"/>
      <c r="J16" s="257"/>
      <c r="K16" s="257"/>
      <c r="L16" s="251"/>
      <c r="O16" s="257" t="str">
        <f>INDEX(PRIJEVODI!B:D,MATCH("URA-006",PRIJEVODI!A:A,0),MATCH(NASLOV!$B$2,PRIJEVODI!$B$1:$D$1,0))</f>
        <v>BETRAG IN KUNA UND LIPA</v>
      </c>
      <c r="P16" s="257"/>
      <c r="Q16" s="257"/>
      <c r="R16" s="257"/>
    </row>
    <row r="19" spans="1:20" ht="12.75" customHeight="1" x14ac:dyDescent="0.2">
      <c r="B19" s="226" t="str">
        <f>INDEX(PRIJEVODI!B:D,MATCH("URA-007",PRIJEVODI!A:A,0),MATCH(NASLOV!$B$2,PRIJEVODI!$B$1:$D$1,0))</f>
        <v xml:space="preserve">ORDNUNGSNUMMER </v>
      </c>
      <c r="C19" s="229" t="str">
        <f>INDEX(PRIJEVODI!B:D,MATCH("URA-008",PRIJEVODI!A:A,0),MATCH(NASLOV!$B$2,PRIJEVODI!$B$1:$D$1,0))</f>
        <v>RECHNUNG</v>
      </c>
      <c r="D19" s="230"/>
      <c r="E19" s="275" t="str">
        <f>INDEX(PRIJEVODI!B:D,MATCH("URA-011",PRIJEVODI!A:A,0),MATCH(NASLOV!$B$2,PRIJEVODI!$B$1:$D$1,0))</f>
        <v>LIEFERANT (ANBIETER VON WAREN UND DIENSTLEISTUNGEN)</v>
      </c>
      <c r="F19" s="276"/>
      <c r="G19" s="276"/>
      <c r="H19" s="276"/>
      <c r="I19" s="276"/>
      <c r="J19" s="276"/>
      <c r="K19" s="276"/>
      <c r="L19" s="276"/>
      <c r="M19" s="273"/>
      <c r="N19" s="229" t="str">
        <f>INDEX(PRIJEVODI!B:D,MATCH("URA-020",PRIJEVODI!A:A,0),MATCH(NASLOV!$B$2,PRIJEVODI!$B$1:$D$1,0))</f>
        <v>STEUER</v>
      </c>
      <c r="O19" s="260"/>
      <c r="P19" s="260"/>
      <c r="Q19" s="260"/>
      <c r="R19" s="260"/>
      <c r="S19" s="266"/>
    </row>
    <row r="20" spans="1:20" x14ac:dyDescent="0.2">
      <c r="B20" s="227"/>
      <c r="C20" s="231"/>
      <c r="D20" s="232"/>
      <c r="E20" s="269"/>
      <c r="F20" s="277"/>
      <c r="G20" s="277"/>
      <c r="H20" s="277"/>
      <c r="I20" s="277"/>
      <c r="J20" s="277"/>
      <c r="K20" s="277"/>
      <c r="L20" s="277"/>
      <c r="M20" s="278"/>
      <c r="N20" s="262"/>
      <c r="O20" s="263"/>
      <c r="P20" s="263"/>
      <c r="Q20" s="263"/>
      <c r="R20" s="263"/>
      <c r="S20" s="264"/>
    </row>
    <row r="21" spans="1:20" ht="12.75" customHeight="1" x14ac:dyDescent="0.2">
      <c r="B21" s="227"/>
      <c r="C21" s="239" t="str">
        <f>INDEX(PRIJEVODI!B:D,MATCH("URA-009",PRIJEVODI!A:A,0),MATCH(NASLOV!$B$2,PRIJEVODI!$B$1:$D$1,0))</f>
        <v xml:space="preserve">NUMMER </v>
      </c>
      <c r="D21" s="239" t="str">
        <f>INDEX(PRIJEVODI!B:D,MATCH("URA-010",PRIJEVODI!A:A,0),MATCH(NASLOV!$B$2,PRIJEVODI!$B$1:$D$1,0))</f>
        <v>DATUM</v>
      </c>
      <c r="E21" s="242" t="str">
        <f>INDEX(PRIJEVODI!B:D,MATCH("URA-012",PRIJEVODI!A:A,0),MATCH(NASLOV!$B$2,PRIJEVODI!$B$1:$D$1,0))</f>
        <v>TITEL - NAME UND NACHNAME, GESCHÄFTSSITZ / SITZORT</v>
      </c>
      <c r="F21" s="243"/>
      <c r="G21" s="248" t="str">
        <f>INDEX(PRIJEVODI!B:D,MATCH("URA-013",PRIJEVODI!A:A,0),MATCH(NASLOV!$B$2,PRIJEVODI!$B$1:$D$1,0))</f>
        <v>STEUERNUMMER (UID)</v>
      </c>
      <c r="H21" s="267" t="str">
        <f>INDEX(PRIJEVODI!B:D,MATCH("URA-014",PRIJEVODI!A:A,0),MATCH(NASLOV!$B$2,PRIJEVODI!$B$1:$D$1,0))</f>
        <v>LIEFERWERT</v>
      </c>
      <c r="I21" s="276"/>
      <c r="J21" s="273"/>
      <c r="K21" s="248" t="str">
        <f>INDEX(PRIJEVODI!B:D,MATCH("URA-018",PRIJEVODI!A:A,0),MATCH(NASLOV!$B$2,PRIJEVODI!$B$1:$D$1,0))</f>
        <v>GESAMTBETRAG DER RECHNUNG INKLUSIVE MwST.</v>
      </c>
      <c r="L21" s="51"/>
      <c r="M21" s="239" t="str">
        <f>INDEX(PRIJEVODI!B:D,MATCH("URA-030",PRIJEVODI!A:A,0),MATCH(NASLOV!$B$2,PRIJEVODI!$B$1:$D$1,0))</f>
        <v>TOTAL</v>
      </c>
      <c r="N21" s="265">
        <v>0.05</v>
      </c>
      <c r="O21" s="266"/>
      <c r="P21" s="265">
        <v>0.13</v>
      </c>
      <c r="Q21" s="266"/>
      <c r="R21" s="265">
        <v>0.25</v>
      </c>
      <c r="S21" s="266"/>
    </row>
    <row r="22" spans="1:20" x14ac:dyDescent="0.2">
      <c r="B22" s="227"/>
      <c r="C22" s="240"/>
      <c r="D22" s="240"/>
      <c r="E22" s="244"/>
      <c r="F22" s="245"/>
      <c r="G22" s="249"/>
      <c r="H22" s="268"/>
      <c r="I22" s="279"/>
      <c r="J22" s="280"/>
      <c r="K22" s="249"/>
      <c r="L22" s="52"/>
      <c r="M22" s="240"/>
      <c r="N22" s="262"/>
      <c r="O22" s="264"/>
      <c r="P22" s="262"/>
      <c r="Q22" s="264"/>
      <c r="R22" s="262"/>
      <c r="S22" s="264"/>
    </row>
    <row r="23" spans="1:20" x14ac:dyDescent="0.2">
      <c r="B23" s="227"/>
      <c r="C23" s="240"/>
      <c r="D23" s="240"/>
      <c r="E23" s="244"/>
      <c r="F23" s="245"/>
      <c r="G23" s="249"/>
      <c r="H23" s="268"/>
      <c r="I23" s="279"/>
      <c r="J23" s="280"/>
      <c r="K23" s="249"/>
      <c r="L23" s="52"/>
      <c r="M23" s="240"/>
      <c r="N23" s="248" t="str">
        <f>INDEX(PRIJEVODI!B:D,MATCH("URA-022",PRIJEVODI!A:A,0),MATCH(NASLOV!$B$2,PRIJEVODI!$B$1:$D$1,0))</f>
        <v>ABZUGSFÄHIG</v>
      </c>
      <c r="O23" s="248" t="str">
        <f>INDEX(PRIJEVODI!B:D,MATCH("URA-023",PRIJEVODI!A:A,0),MATCH(NASLOV!$B$2,PRIJEVODI!$B$1:$D$1,0))</f>
        <v>NICHT ABZUGSFÄHIG</v>
      </c>
      <c r="P23" s="248" t="str">
        <f>INDEX(PRIJEVODI!B:D,MATCH("URA-025",PRIJEVODI!A:A,0),MATCH(NASLOV!$B$2,PRIJEVODI!$B$1:$D$1,0))</f>
        <v>ABZUGSFÄHIG</v>
      </c>
      <c r="Q23" s="248" t="str">
        <f>INDEX(PRIJEVODI!B:D,MATCH("URA-026",PRIJEVODI!A:A,0),MATCH(NASLOV!$B$2,PRIJEVODI!$B$1:$D$1,0))</f>
        <v>NICHT ABZUGSFÄHIG</v>
      </c>
      <c r="R23" s="248" t="str">
        <f>INDEX(PRIJEVODI!B:D,MATCH("URA-028",PRIJEVODI!A:A,0),MATCH(NASLOV!$B$2,PRIJEVODI!$B$1:$D$1,0))</f>
        <v>ABZUGSFÄHIG</v>
      </c>
      <c r="S23" s="248" t="str">
        <f>INDEX(PRIJEVODI!B:D,MATCH("URA-029",PRIJEVODI!A:A,0),MATCH(NASLOV!$B$2,PRIJEVODI!$B$1:$D$1,0))</f>
        <v>NICHT ABZUGSFÄHIG</v>
      </c>
    </row>
    <row r="24" spans="1:20" x14ac:dyDescent="0.2">
      <c r="B24" s="227"/>
      <c r="C24" s="240"/>
      <c r="D24" s="240"/>
      <c r="E24" s="244"/>
      <c r="F24" s="245"/>
      <c r="G24" s="249"/>
      <c r="H24" s="268"/>
      <c r="I24" s="279"/>
      <c r="J24" s="280"/>
      <c r="K24" s="249"/>
      <c r="L24" s="55" t="str">
        <f>INDEX(PRIJEVODI!B:D,MATCH("URA-019",PRIJEVODI!A:A,0),MATCH(NASLOV!$B$2,PRIJEVODI!$B$1:$D$1,0))</f>
        <v>STEUERBEFREIUNGEN / ABZUGSFÄHIG</v>
      </c>
      <c r="M24" s="240"/>
      <c r="N24" s="249"/>
      <c r="O24" s="249"/>
      <c r="P24" s="249"/>
      <c r="Q24" s="249"/>
      <c r="R24" s="249"/>
      <c r="S24" s="249"/>
    </row>
    <row r="25" spans="1:20" x14ac:dyDescent="0.2">
      <c r="B25" s="227"/>
      <c r="C25" s="240"/>
      <c r="D25" s="240"/>
      <c r="E25" s="244"/>
      <c r="F25" s="245"/>
      <c r="G25" s="249"/>
      <c r="H25" s="269"/>
      <c r="I25" s="277"/>
      <c r="J25" s="278"/>
      <c r="K25" s="249"/>
      <c r="L25" s="52"/>
      <c r="M25" s="240"/>
      <c r="N25" s="249"/>
      <c r="O25" s="249"/>
      <c r="P25" s="249"/>
      <c r="Q25" s="249"/>
      <c r="R25" s="249"/>
      <c r="S25" s="249"/>
    </row>
    <row r="26" spans="1:20" x14ac:dyDescent="0.2">
      <c r="B26" s="227"/>
      <c r="C26" s="240"/>
      <c r="D26" s="240"/>
      <c r="E26" s="244"/>
      <c r="F26" s="245"/>
      <c r="G26" s="249"/>
      <c r="H26" s="274">
        <v>0.05</v>
      </c>
      <c r="I26" s="274">
        <v>0.13</v>
      </c>
      <c r="J26" s="274">
        <v>0.25</v>
      </c>
      <c r="K26" s="249"/>
      <c r="L26" s="52"/>
      <c r="M26" s="240"/>
      <c r="N26" s="249"/>
      <c r="O26" s="249"/>
      <c r="P26" s="249"/>
      <c r="Q26" s="249"/>
      <c r="R26" s="249"/>
      <c r="S26" s="249"/>
    </row>
    <row r="27" spans="1:20" x14ac:dyDescent="0.2">
      <c r="B27" s="228"/>
      <c r="C27" s="241"/>
      <c r="D27" s="241"/>
      <c r="E27" s="246"/>
      <c r="F27" s="247"/>
      <c r="G27" s="250"/>
      <c r="H27" s="241"/>
      <c r="I27" s="241"/>
      <c r="J27" s="241"/>
      <c r="K27" s="250"/>
      <c r="L27" s="53"/>
      <c r="M27" s="241"/>
      <c r="N27" s="250"/>
      <c r="O27" s="250"/>
      <c r="P27" s="250"/>
      <c r="Q27" s="250"/>
      <c r="R27" s="250"/>
      <c r="S27" s="250"/>
    </row>
    <row r="28" spans="1:20" ht="13.5" thickBot="1" x14ac:dyDescent="0.25">
      <c r="A28" s="147" t="s">
        <v>590</v>
      </c>
      <c r="B28" s="36">
        <v>1</v>
      </c>
      <c r="C28" s="36">
        <v>2</v>
      </c>
      <c r="D28" s="36">
        <v>3</v>
      </c>
      <c r="E28" s="267">
        <v>4</v>
      </c>
      <c r="F28" s="273"/>
      <c r="G28" s="36">
        <v>5</v>
      </c>
      <c r="H28" s="36">
        <v>6</v>
      </c>
      <c r="I28" s="36">
        <v>7</v>
      </c>
      <c r="J28" s="36">
        <v>8</v>
      </c>
      <c r="K28" s="36">
        <v>9</v>
      </c>
      <c r="L28" s="54"/>
      <c r="M28" s="166" t="s">
        <v>0</v>
      </c>
      <c r="N28" s="166">
        <v>11</v>
      </c>
      <c r="O28" s="167">
        <v>12</v>
      </c>
      <c r="P28" s="166">
        <v>13</v>
      </c>
      <c r="Q28" s="167">
        <v>14</v>
      </c>
      <c r="R28" s="166">
        <v>15</v>
      </c>
      <c r="S28" s="167">
        <v>16</v>
      </c>
    </row>
    <row r="29" spans="1:20" s="125" customFormat="1" x14ac:dyDescent="0.2">
      <c r="A29" s="170">
        <v>88</v>
      </c>
      <c r="B29" s="171">
        <v>71</v>
      </c>
      <c r="C29" s="172" t="s">
        <v>617</v>
      </c>
      <c r="D29" s="173">
        <v>44812</v>
      </c>
      <c r="E29" s="174" t="s">
        <v>612</v>
      </c>
      <c r="F29" s="174" t="s">
        <v>609</v>
      </c>
      <c r="G29" s="175">
        <v>43965974818</v>
      </c>
      <c r="H29" s="176"/>
      <c r="I29" s="176">
        <v>1296.67</v>
      </c>
      <c r="J29" s="177"/>
      <c r="K29" s="178">
        <f t="shared" ref="K29:K94" si="0">H29+I29+J29+M29</f>
        <v>1465.2371000000001</v>
      </c>
      <c r="L29" s="179"/>
      <c r="M29" s="179">
        <f>SUM(N29:S29)</f>
        <v>168.56710000000001</v>
      </c>
      <c r="N29" s="180"/>
      <c r="O29" s="180"/>
      <c r="P29" s="179">
        <f>+I29*0.13</f>
        <v>168.56710000000001</v>
      </c>
      <c r="Q29" s="180"/>
      <c r="R29" s="179">
        <f>J29*0.25</f>
        <v>0</v>
      </c>
      <c r="S29" s="180"/>
      <c r="T29" s="131"/>
    </row>
    <row r="30" spans="1:20" s="125" customFormat="1" x14ac:dyDescent="0.2">
      <c r="A30" s="146">
        <v>89</v>
      </c>
      <c r="B30" s="126">
        <v>72</v>
      </c>
      <c r="C30" s="141" t="s">
        <v>618</v>
      </c>
      <c r="D30" s="149">
        <v>44812</v>
      </c>
      <c r="E30" s="2" t="s">
        <v>612</v>
      </c>
      <c r="F30" s="2" t="s">
        <v>609</v>
      </c>
      <c r="G30" s="128">
        <v>43965974818</v>
      </c>
      <c r="H30" s="150"/>
      <c r="I30" s="150">
        <v>1354.36</v>
      </c>
      <c r="J30" s="151"/>
      <c r="K30" s="130">
        <f t="shared" si="0"/>
        <v>1530.4268</v>
      </c>
      <c r="L30" s="123"/>
      <c r="M30" s="123">
        <f t="shared" ref="M30:M95" si="1">SUM(N30:S30)</f>
        <v>176.0668</v>
      </c>
      <c r="N30" s="129"/>
      <c r="O30" s="129"/>
      <c r="P30" s="123">
        <f>+I30*0.13</f>
        <v>176.0668</v>
      </c>
      <c r="Q30" s="129"/>
      <c r="R30" s="123">
        <f t="shared" ref="R30:R95" si="2">J30*0.25</f>
        <v>0</v>
      </c>
      <c r="S30" s="129"/>
      <c r="T30" s="131"/>
    </row>
    <row r="31" spans="1:20" s="125" customFormat="1" x14ac:dyDescent="0.2">
      <c r="A31" s="146">
        <v>90</v>
      </c>
      <c r="B31" s="126">
        <v>73</v>
      </c>
      <c r="C31" s="141" t="s">
        <v>619</v>
      </c>
      <c r="D31" s="149">
        <v>44812</v>
      </c>
      <c r="E31" s="2" t="s">
        <v>612</v>
      </c>
      <c r="F31" s="2" t="s">
        <v>609</v>
      </c>
      <c r="G31" s="128">
        <v>43965974818</v>
      </c>
      <c r="H31" s="150"/>
      <c r="I31" s="150">
        <v>1729.98</v>
      </c>
      <c r="J31" s="151"/>
      <c r="K31" s="130">
        <f t="shared" si="0"/>
        <v>1954.8774000000001</v>
      </c>
      <c r="L31" s="123"/>
      <c r="M31" s="123">
        <f t="shared" si="1"/>
        <v>224.8974</v>
      </c>
      <c r="N31" s="129"/>
      <c r="O31" s="129"/>
      <c r="P31" s="123">
        <f>I31*0.13</f>
        <v>224.8974</v>
      </c>
      <c r="Q31" s="129"/>
      <c r="R31" s="123">
        <f t="shared" si="2"/>
        <v>0</v>
      </c>
      <c r="S31" s="129"/>
      <c r="T31" s="131"/>
    </row>
    <row r="32" spans="1:20" s="125" customFormat="1" ht="13.5" thickBot="1" x14ac:dyDescent="0.25">
      <c r="A32" s="192">
        <v>91</v>
      </c>
      <c r="B32" s="193">
        <v>74</v>
      </c>
      <c r="C32" s="194" t="s">
        <v>620</v>
      </c>
      <c r="D32" s="195">
        <v>44812</v>
      </c>
      <c r="E32" s="196" t="s">
        <v>612</v>
      </c>
      <c r="F32" s="196" t="s">
        <v>609</v>
      </c>
      <c r="G32" s="197">
        <v>43965974818</v>
      </c>
      <c r="H32" s="198"/>
      <c r="I32" s="198">
        <v>1089.6600000000001</v>
      </c>
      <c r="J32" s="199"/>
      <c r="K32" s="200">
        <f t="shared" si="0"/>
        <v>1231.3158000000001</v>
      </c>
      <c r="L32" s="201"/>
      <c r="M32" s="201">
        <f t="shared" si="1"/>
        <v>141.65580000000003</v>
      </c>
      <c r="N32" s="202"/>
      <c r="O32" s="202"/>
      <c r="P32" s="201">
        <f>+I32*0.13</f>
        <v>141.65580000000003</v>
      </c>
      <c r="Q32" s="202"/>
      <c r="R32" s="201">
        <f t="shared" si="2"/>
        <v>0</v>
      </c>
      <c r="S32" s="202"/>
      <c r="T32" s="131"/>
    </row>
    <row r="33" spans="1:20" s="125" customFormat="1" x14ac:dyDescent="0.2">
      <c r="A33" s="146">
        <v>92</v>
      </c>
      <c r="B33" s="181">
        <v>75</v>
      </c>
      <c r="C33" s="182" t="s">
        <v>621</v>
      </c>
      <c r="D33" s="183">
        <v>44865</v>
      </c>
      <c r="E33" s="184" t="s">
        <v>587</v>
      </c>
      <c r="F33" s="185" t="s">
        <v>610</v>
      </c>
      <c r="G33" s="186">
        <v>51260824290</v>
      </c>
      <c r="H33" s="187"/>
      <c r="I33" s="187">
        <v>25</v>
      </c>
      <c r="J33" s="188"/>
      <c r="K33" s="189">
        <f t="shared" si="0"/>
        <v>28.25</v>
      </c>
      <c r="L33" s="190"/>
      <c r="M33" s="190">
        <f t="shared" si="1"/>
        <v>3.25</v>
      </c>
      <c r="N33" s="191">
        <f>+H33*0.05</f>
        <v>0</v>
      </c>
      <c r="O33" s="191"/>
      <c r="P33" s="190">
        <f t="shared" ref="P33:P34" si="3">+I33*0.13</f>
        <v>3.25</v>
      </c>
      <c r="Q33" s="191"/>
      <c r="R33" s="190">
        <f t="shared" si="2"/>
        <v>0</v>
      </c>
      <c r="S33" s="191"/>
      <c r="T33" s="131"/>
    </row>
    <row r="34" spans="1:20" s="125" customFormat="1" x14ac:dyDescent="0.2">
      <c r="A34" s="146">
        <v>93</v>
      </c>
      <c r="B34" s="126">
        <v>76</v>
      </c>
      <c r="C34" s="2" t="s">
        <v>622</v>
      </c>
      <c r="D34" s="149">
        <v>44865</v>
      </c>
      <c r="E34" s="6" t="s">
        <v>587</v>
      </c>
      <c r="F34" s="127" t="s">
        <v>610</v>
      </c>
      <c r="G34" s="128">
        <v>51260824290</v>
      </c>
      <c r="H34" s="150"/>
      <c r="I34" s="150">
        <v>25</v>
      </c>
      <c r="J34" s="151"/>
      <c r="K34" s="130">
        <f t="shared" si="0"/>
        <v>28.25</v>
      </c>
      <c r="L34" s="123"/>
      <c r="M34" s="123">
        <f t="shared" si="1"/>
        <v>3.25</v>
      </c>
      <c r="N34" s="129"/>
      <c r="O34" s="129"/>
      <c r="P34" s="123">
        <f t="shared" si="3"/>
        <v>3.25</v>
      </c>
      <c r="Q34" s="129"/>
      <c r="R34" s="123">
        <f t="shared" si="2"/>
        <v>0</v>
      </c>
      <c r="S34" s="129"/>
      <c r="T34" s="131"/>
    </row>
    <row r="35" spans="1:20" s="125" customFormat="1" x14ac:dyDescent="0.2">
      <c r="A35" s="146">
        <v>94</v>
      </c>
      <c r="B35" s="126">
        <v>77</v>
      </c>
      <c r="C35" s="141" t="s">
        <v>611</v>
      </c>
      <c r="D35" s="149">
        <v>44865</v>
      </c>
      <c r="E35" s="6" t="s">
        <v>587</v>
      </c>
      <c r="F35" s="127" t="s">
        <v>610</v>
      </c>
      <c r="G35" s="128">
        <v>51260824290</v>
      </c>
      <c r="H35" s="150"/>
      <c r="I35" s="150">
        <v>25</v>
      </c>
      <c r="J35" s="151"/>
      <c r="K35" s="130">
        <f t="shared" si="0"/>
        <v>28.25</v>
      </c>
      <c r="L35" s="123"/>
      <c r="M35" s="123">
        <f t="shared" si="1"/>
        <v>3.25</v>
      </c>
      <c r="N35" s="129">
        <f t="shared" ref="N35" si="4">+H35*0.05</f>
        <v>0</v>
      </c>
      <c r="O35" s="129"/>
      <c r="P35" s="123">
        <f>+I35*0.13</f>
        <v>3.25</v>
      </c>
      <c r="Q35" s="129"/>
      <c r="R35" s="123">
        <f t="shared" ref="R35:R52" si="5">J35*0.25</f>
        <v>0</v>
      </c>
      <c r="S35" s="129"/>
      <c r="T35" s="131"/>
    </row>
    <row r="36" spans="1:20" s="125" customFormat="1" ht="13.5" thickBot="1" x14ac:dyDescent="0.25">
      <c r="A36" s="146">
        <v>95</v>
      </c>
      <c r="B36" s="203">
        <v>78</v>
      </c>
      <c r="C36" s="204" t="s">
        <v>623</v>
      </c>
      <c r="D36" s="205">
        <v>44865</v>
      </c>
      <c r="E36" s="206" t="s">
        <v>588</v>
      </c>
      <c r="F36" s="207" t="s">
        <v>595</v>
      </c>
      <c r="G36" s="208">
        <v>77465071491</v>
      </c>
      <c r="H36" s="209"/>
      <c r="I36" s="209">
        <v>120</v>
      </c>
      <c r="J36" s="210"/>
      <c r="K36" s="211">
        <f t="shared" si="0"/>
        <v>135.6</v>
      </c>
      <c r="L36" s="212"/>
      <c r="M36" s="212">
        <f t="shared" si="1"/>
        <v>15.600000000000001</v>
      </c>
      <c r="N36" s="213"/>
      <c r="O36" s="213"/>
      <c r="P36" s="212">
        <f t="shared" ref="P36:P52" si="6">+I36*0.13</f>
        <v>15.600000000000001</v>
      </c>
      <c r="Q36" s="213"/>
      <c r="R36" s="212">
        <f t="shared" si="5"/>
        <v>0</v>
      </c>
      <c r="S36" s="213"/>
      <c r="T36" s="131"/>
    </row>
    <row r="37" spans="1:20" s="125" customFormat="1" x14ac:dyDescent="0.2">
      <c r="A37" s="170">
        <v>96</v>
      </c>
      <c r="B37" s="171">
        <v>79</v>
      </c>
      <c r="C37" s="172" t="s">
        <v>624</v>
      </c>
      <c r="D37" s="214">
        <v>44867</v>
      </c>
      <c r="E37" s="174" t="s">
        <v>589</v>
      </c>
      <c r="F37" s="174" t="s">
        <v>594</v>
      </c>
      <c r="G37" s="175">
        <v>26618043061</v>
      </c>
      <c r="H37" s="176"/>
      <c r="I37" s="176"/>
      <c r="J37" s="177">
        <v>2259.38</v>
      </c>
      <c r="K37" s="178">
        <f t="shared" si="0"/>
        <v>2824.2250000000004</v>
      </c>
      <c r="L37" s="179"/>
      <c r="M37" s="179">
        <f>SUM(N37:S37)</f>
        <v>564.84500000000003</v>
      </c>
      <c r="N37" s="180">
        <f t="shared" ref="N37" si="7">+H37*0.05</f>
        <v>0</v>
      </c>
      <c r="O37" s="180"/>
      <c r="P37" s="179">
        <f t="shared" si="6"/>
        <v>0</v>
      </c>
      <c r="Q37" s="180"/>
      <c r="R37" s="179">
        <f t="shared" si="5"/>
        <v>564.84500000000003</v>
      </c>
      <c r="S37" s="180"/>
      <c r="T37" s="131"/>
    </row>
    <row r="38" spans="1:20" s="125" customFormat="1" x14ac:dyDescent="0.2">
      <c r="A38" s="146">
        <v>97</v>
      </c>
      <c r="B38" s="126">
        <v>80</v>
      </c>
      <c r="C38" s="141" t="s">
        <v>625</v>
      </c>
      <c r="D38" s="44">
        <v>44876</v>
      </c>
      <c r="E38" s="2" t="s">
        <v>612</v>
      </c>
      <c r="F38" s="2" t="s">
        <v>609</v>
      </c>
      <c r="G38" s="128">
        <v>43965974818</v>
      </c>
      <c r="H38" s="150"/>
      <c r="I38" s="150">
        <v>394.07</v>
      </c>
      <c r="J38" s="151"/>
      <c r="K38" s="130">
        <f t="shared" si="0"/>
        <v>445.29910000000001</v>
      </c>
      <c r="L38" s="123"/>
      <c r="M38" s="123">
        <f t="shared" si="1"/>
        <v>51.229100000000003</v>
      </c>
      <c r="N38" s="129"/>
      <c r="O38" s="129"/>
      <c r="P38" s="123">
        <f t="shared" si="6"/>
        <v>51.229100000000003</v>
      </c>
      <c r="Q38" s="129"/>
      <c r="R38" s="123">
        <f t="shared" si="5"/>
        <v>0</v>
      </c>
      <c r="S38" s="129"/>
      <c r="T38" s="131"/>
    </row>
    <row r="39" spans="1:20" s="125" customFormat="1" x14ac:dyDescent="0.2">
      <c r="A39" s="146">
        <v>98</v>
      </c>
      <c r="B39" s="126">
        <v>81</v>
      </c>
      <c r="C39" s="2" t="s">
        <v>626</v>
      </c>
      <c r="D39" s="44">
        <v>44876</v>
      </c>
      <c r="E39" s="2" t="s">
        <v>612</v>
      </c>
      <c r="F39" s="2" t="s">
        <v>609</v>
      </c>
      <c r="G39" s="128">
        <v>43965974818</v>
      </c>
      <c r="H39" s="150"/>
      <c r="I39" s="150">
        <v>577.62</v>
      </c>
      <c r="J39" s="151"/>
      <c r="K39" s="130">
        <f t="shared" si="0"/>
        <v>652.7106</v>
      </c>
      <c r="L39" s="123"/>
      <c r="M39" s="123">
        <f t="shared" si="1"/>
        <v>75.090600000000009</v>
      </c>
      <c r="N39" s="129">
        <f t="shared" ref="N39" si="8">+H39*0.05</f>
        <v>0</v>
      </c>
      <c r="O39" s="129"/>
      <c r="P39" s="123">
        <f t="shared" si="6"/>
        <v>75.090600000000009</v>
      </c>
      <c r="Q39" s="129"/>
      <c r="R39" s="123">
        <f t="shared" si="5"/>
        <v>0</v>
      </c>
      <c r="S39" s="129"/>
      <c r="T39" s="131"/>
    </row>
    <row r="40" spans="1:20" s="125" customFormat="1" x14ac:dyDescent="0.2">
      <c r="A40" s="146">
        <v>99</v>
      </c>
      <c r="B40" s="126">
        <v>82</v>
      </c>
      <c r="C40" s="141" t="s">
        <v>627</v>
      </c>
      <c r="D40" s="44">
        <v>44876</v>
      </c>
      <c r="E40" s="2" t="s">
        <v>612</v>
      </c>
      <c r="F40" s="2" t="s">
        <v>609</v>
      </c>
      <c r="G40" s="128">
        <v>43965974818</v>
      </c>
      <c r="H40" s="150"/>
      <c r="I40" s="150">
        <v>795.57</v>
      </c>
      <c r="J40" s="151"/>
      <c r="K40" s="130">
        <f t="shared" ref="K40:K41" si="9">H40+I40+J40+M40</f>
        <v>898.99410000000012</v>
      </c>
      <c r="L40" s="123"/>
      <c r="M40" s="123">
        <f t="shared" ref="M40:M41" si="10">SUM(N40:S40)</f>
        <v>103.42410000000001</v>
      </c>
      <c r="N40" s="129">
        <f t="shared" ref="N40" si="11">+H40*0.05</f>
        <v>0</v>
      </c>
      <c r="O40" s="129"/>
      <c r="P40" s="123">
        <f t="shared" ref="P40" si="12">+I40*0.13</f>
        <v>103.42410000000001</v>
      </c>
      <c r="Q40" s="129"/>
      <c r="R40" s="123">
        <f t="shared" ref="R40" si="13">J40*0.25</f>
        <v>0</v>
      </c>
      <c r="S40" s="129"/>
      <c r="T40" s="131"/>
    </row>
    <row r="41" spans="1:20" s="125" customFormat="1" x14ac:dyDescent="0.2">
      <c r="A41" s="146">
        <v>100</v>
      </c>
      <c r="B41" s="126">
        <v>83</v>
      </c>
      <c r="C41" s="141" t="s">
        <v>628</v>
      </c>
      <c r="D41" s="44">
        <v>44876</v>
      </c>
      <c r="E41" s="2" t="s">
        <v>612</v>
      </c>
      <c r="F41" s="2" t="s">
        <v>609</v>
      </c>
      <c r="G41" s="128">
        <v>43965974818</v>
      </c>
      <c r="H41" s="150"/>
      <c r="I41" s="150">
        <v>724.45</v>
      </c>
      <c r="J41" s="151"/>
      <c r="K41" s="130">
        <f t="shared" si="9"/>
        <v>818.62850000000003</v>
      </c>
      <c r="L41" s="123"/>
      <c r="M41" s="123">
        <f t="shared" si="10"/>
        <v>94.178500000000014</v>
      </c>
      <c r="N41" s="129">
        <f t="shared" ref="N41" si="14">+H41*0.05</f>
        <v>0</v>
      </c>
      <c r="O41" s="129"/>
      <c r="P41" s="123">
        <f t="shared" ref="P41" si="15">+I41*0.13</f>
        <v>94.178500000000014</v>
      </c>
      <c r="Q41" s="129"/>
      <c r="R41" s="123">
        <f t="shared" ref="R41" si="16">J41*0.25</f>
        <v>0</v>
      </c>
      <c r="S41" s="129"/>
      <c r="T41" s="131"/>
    </row>
    <row r="42" spans="1:20" s="125" customFormat="1" x14ac:dyDescent="0.2">
      <c r="A42" s="146">
        <v>101</v>
      </c>
      <c r="B42" s="126">
        <v>84</v>
      </c>
      <c r="C42" s="141" t="s">
        <v>629</v>
      </c>
      <c r="D42" s="44">
        <v>44879</v>
      </c>
      <c r="E42" s="2" t="s">
        <v>612</v>
      </c>
      <c r="F42" s="2" t="s">
        <v>609</v>
      </c>
      <c r="G42" s="128">
        <v>43965974818</v>
      </c>
      <c r="H42" s="150"/>
      <c r="I42" s="150">
        <v>25.2</v>
      </c>
      <c r="J42" s="151"/>
      <c r="K42" s="130">
        <f t="shared" si="0"/>
        <v>28.475999999999999</v>
      </c>
      <c r="L42" s="123"/>
      <c r="M42" s="123">
        <f t="shared" si="1"/>
        <v>3.2759999999999998</v>
      </c>
      <c r="N42" s="129"/>
      <c r="O42" s="129"/>
      <c r="P42" s="123">
        <f t="shared" si="6"/>
        <v>3.2759999999999998</v>
      </c>
      <c r="Q42" s="129"/>
      <c r="R42" s="123">
        <f t="shared" si="5"/>
        <v>0</v>
      </c>
      <c r="S42" s="129"/>
      <c r="T42" s="131"/>
    </row>
    <row r="43" spans="1:20" s="125" customFormat="1" x14ac:dyDescent="0.2">
      <c r="A43" s="146">
        <v>102</v>
      </c>
      <c r="B43" s="126">
        <v>85</v>
      </c>
      <c r="C43" s="141" t="s">
        <v>630</v>
      </c>
      <c r="D43" s="44">
        <v>44879</v>
      </c>
      <c r="E43" s="2" t="s">
        <v>612</v>
      </c>
      <c r="F43" s="2" t="s">
        <v>609</v>
      </c>
      <c r="G43" s="128">
        <v>43965974818</v>
      </c>
      <c r="H43" s="150"/>
      <c r="I43" s="150">
        <v>38.56</v>
      </c>
      <c r="J43" s="151"/>
      <c r="K43" s="130">
        <f t="shared" si="0"/>
        <v>43.572800000000001</v>
      </c>
      <c r="L43" s="123"/>
      <c r="M43" s="123">
        <f t="shared" si="1"/>
        <v>5.0128000000000004</v>
      </c>
      <c r="N43" s="129"/>
      <c r="O43" s="129"/>
      <c r="P43" s="123">
        <f t="shared" si="6"/>
        <v>5.0128000000000004</v>
      </c>
      <c r="Q43" s="129"/>
      <c r="R43" s="123">
        <f t="shared" si="5"/>
        <v>0</v>
      </c>
      <c r="S43" s="129"/>
      <c r="T43" s="131"/>
    </row>
    <row r="44" spans="1:20" s="125" customFormat="1" x14ac:dyDescent="0.2">
      <c r="A44" s="146">
        <v>103</v>
      </c>
      <c r="B44" s="126">
        <v>86</v>
      </c>
      <c r="C44" s="141" t="s">
        <v>631</v>
      </c>
      <c r="D44" s="44">
        <v>44879</v>
      </c>
      <c r="E44" s="2" t="s">
        <v>612</v>
      </c>
      <c r="F44" s="2" t="s">
        <v>609</v>
      </c>
      <c r="G44" s="128">
        <v>43965974818</v>
      </c>
      <c r="H44" s="150"/>
      <c r="I44" s="150">
        <v>12.92</v>
      </c>
      <c r="J44" s="151"/>
      <c r="K44" s="130">
        <f t="shared" si="0"/>
        <v>14.599600000000001</v>
      </c>
      <c r="L44" s="123"/>
      <c r="M44" s="123">
        <f t="shared" si="1"/>
        <v>1.6796</v>
      </c>
      <c r="N44" s="129">
        <f t="shared" ref="N44" si="17">+H44*0.05</f>
        <v>0</v>
      </c>
      <c r="O44" s="129"/>
      <c r="P44" s="123">
        <f t="shared" si="6"/>
        <v>1.6796</v>
      </c>
      <c r="Q44" s="129"/>
      <c r="R44" s="123">
        <f t="shared" si="5"/>
        <v>0</v>
      </c>
      <c r="S44" s="129"/>
      <c r="T44" s="131"/>
    </row>
    <row r="45" spans="1:20" s="125" customFormat="1" x14ac:dyDescent="0.2">
      <c r="A45" s="146">
        <v>104</v>
      </c>
      <c r="B45" s="126">
        <v>87</v>
      </c>
      <c r="C45" s="141" t="s">
        <v>632</v>
      </c>
      <c r="D45" s="44">
        <v>44879</v>
      </c>
      <c r="E45" s="2" t="s">
        <v>612</v>
      </c>
      <c r="F45" s="2" t="s">
        <v>609</v>
      </c>
      <c r="G45" s="128">
        <v>43965974818</v>
      </c>
      <c r="H45" s="150"/>
      <c r="I45" s="150">
        <v>12.92</v>
      </c>
      <c r="J45" s="151"/>
      <c r="K45" s="130">
        <f t="shared" si="0"/>
        <v>14.599600000000001</v>
      </c>
      <c r="L45" s="123"/>
      <c r="M45" s="123">
        <f t="shared" si="1"/>
        <v>1.6796</v>
      </c>
      <c r="N45" s="129"/>
      <c r="O45" s="129"/>
      <c r="P45" s="123">
        <f t="shared" si="6"/>
        <v>1.6796</v>
      </c>
      <c r="Q45" s="129"/>
      <c r="R45" s="123">
        <f t="shared" si="5"/>
        <v>0</v>
      </c>
      <c r="S45" s="129"/>
      <c r="T45" s="131"/>
    </row>
    <row r="46" spans="1:20" s="125" customFormat="1" x14ac:dyDescent="0.2">
      <c r="A46" s="146">
        <v>105</v>
      </c>
      <c r="B46" s="126">
        <v>88</v>
      </c>
      <c r="C46" s="141" t="s">
        <v>633</v>
      </c>
      <c r="D46" s="44">
        <v>44879</v>
      </c>
      <c r="E46" s="6" t="s">
        <v>634</v>
      </c>
      <c r="F46" s="127" t="s">
        <v>635</v>
      </c>
      <c r="G46" s="128">
        <v>21523879111</v>
      </c>
      <c r="H46" s="150">
        <v>47.52</v>
      </c>
      <c r="I46" s="150"/>
      <c r="J46" s="151">
        <v>5937.92</v>
      </c>
      <c r="K46" s="130">
        <f t="shared" si="0"/>
        <v>7472.2960000000003</v>
      </c>
      <c r="L46" s="123"/>
      <c r="M46" s="123">
        <f t="shared" si="1"/>
        <v>1486.856</v>
      </c>
      <c r="N46" s="129">
        <f t="shared" ref="N46" si="18">+H46*0.05</f>
        <v>2.3760000000000003</v>
      </c>
      <c r="O46" s="129"/>
      <c r="P46" s="123">
        <f t="shared" si="6"/>
        <v>0</v>
      </c>
      <c r="Q46" s="129"/>
      <c r="R46" s="123">
        <f t="shared" si="5"/>
        <v>1484.48</v>
      </c>
      <c r="S46" s="129"/>
      <c r="T46" s="131"/>
    </row>
    <row r="47" spans="1:20" s="125" customFormat="1" x14ac:dyDescent="0.2">
      <c r="A47" s="146">
        <v>107</v>
      </c>
      <c r="B47" s="126">
        <v>89</v>
      </c>
      <c r="C47" s="141" t="s">
        <v>639</v>
      </c>
      <c r="D47" s="44">
        <v>44881</v>
      </c>
      <c r="E47" s="6" t="s">
        <v>616</v>
      </c>
      <c r="F47" s="127" t="s">
        <v>640</v>
      </c>
      <c r="G47" s="128">
        <v>83723691542</v>
      </c>
      <c r="H47" s="150"/>
      <c r="I47" s="150"/>
      <c r="J47" s="151">
        <v>56520</v>
      </c>
      <c r="K47" s="130">
        <f t="shared" si="0"/>
        <v>70650</v>
      </c>
      <c r="L47" s="123"/>
      <c r="M47" s="123">
        <f t="shared" si="1"/>
        <v>14130</v>
      </c>
      <c r="N47" s="129"/>
      <c r="O47" s="129"/>
      <c r="P47" s="123">
        <f t="shared" si="6"/>
        <v>0</v>
      </c>
      <c r="Q47" s="129"/>
      <c r="R47" s="123">
        <f t="shared" si="5"/>
        <v>14130</v>
      </c>
      <c r="S47" s="129"/>
      <c r="T47" s="131"/>
    </row>
    <row r="48" spans="1:20" s="125" customFormat="1" x14ac:dyDescent="0.2">
      <c r="A48" s="146">
        <v>108</v>
      </c>
      <c r="B48" s="126">
        <v>90</v>
      </c>
      <c r="C48" s="141" t="s">
        <v>641</v>
      </c>
      <c r="D48" s="44">
        <v>44895</v>
      </c>
      <c r="E48" s="2" t="s">
        <v>589</v>
      </c>
      <c r="F48" s="2" t="s">
        <v>594</v>
      </c>
      <c r="G48" s="128">
        <v>26618043061</v>
      </c>
      <c r="H48" s="150"/>
      <c r="I48" s="150"/>
      <c r="J48" s="151">
        <v>2264.77</v>
      </c>
      <c r="K48" s="130">
        <f t="shared" ref="K48" si="19">H48+I48+J48+M48</f>
        <v>2830.9625000000001</v>
      </c>
      <c r="L48" s="123"/>
      <c r="M48" s="123">
        <f t="shared" ref="M48" si="20">SUM(N48:S48)</f>
        <v>566.1925</v>
      </c>
      <c r="N48" s="129"/>
      <c r="O48" s="129"/>
      <c r="P48" s="123">
        <f t="shared" ref="P48" si="21">+I48*0.13</f>
        <v>0</v>
      </c>
      <c r="Q48" s="129"/>
      <c r="R48" s="123">
        <f t="shared" ref="R48" si="22">J48*0.25</f>
        <v>566.1925</v>
      </c>
      <c r="S48" s="129"/>
      <c r="T48" s="131"/>
    </row>
    <row r="49" spans="1:20" s="125" customFormat="1" x14ac:dyDescent="0.2">
      <c r="A49" s="146">
        <v>109</v>
      </c>
      <c r="B49" s="126">
        <v>91</v>
      </c>
      <c r="C49" s="141" t="s">
        <v>642</v>
      </c>
      <c r="D49" s="44">
        <v>44895</v>
      </c>
      <c r="E49" s="6" t="s">
        <v>587</v>
      </c>
      <c r="F49" s="127" t="s">
        <v>610</v>
      </c>
      <c r="G49" s="128">
        <v>51260824290</v>
      </c>
      <c r="H49" s="150"/>
      <c r="I49" s="150">
        <v>25</v>
      </c>
      <c r="J49" s="151"/>
      <c r="K49" s="130">
        <f t="shared" si="0"/>
        <v>28.25</v>
      </c>
      <c r="L49" s="123"/>
      <c r="M49" s="123">
        <f t="shared" si="1"/>
        <v>3.25</v>
      </c>
      <c r="N49" s="129"/>
      <c r="O49" s="129"/>
      <c r="P49" s="123">
        <f t="shared" si="6"/>
        <v>3.25</v>
      </c>
      <c r="Q49" s="129"/>
      <c r="R49" s="123">
        <f t="shared" si="5"/>
        <v>0</v>
      </c>
      <c r="S49" s="129"/>
      <c r="T49" s="131"/>
    </row>
    <row r="50" spans="1:20" s="125" customFormat="1" x14ac:dyDescent="0.2">
      <c r="A50" s="146">
        <v>110</v>
      </c>
      <c r="B50" s="126">
        <v>92</v>
      </c>
      <c r="C50" s="141" t="s">
        <v>643</v>
      </c>
      <c r="D50" s="44">
        <v>44895</v>
      </c>
      <c r="E50" s="6" t="s">
        <v>587</v>
      </c>
      <c r="F50" s="127" t="s">
        <v>610</v>
      </c>
      <c r="G50" s="128">
        <v>51260824290</v>
      </c>
      <c r="H50" s="150"/>
      <c r="I50" s="150">
        <v>25</v>
      </c>
      <c r="J50" s="151"/>
      <c r="K50" s="130">
        <f t="shared" si="0"/>
        <v>28.25</v>
      </c>
      <c r="L50" s="123"/>
      <c r="M50" s="123">
        <f t="shared" si="1"/>
        <v>3.25</v>
      </c>
      <c r="N50" s="129">
        <f t="shared" ref="N50" si="23">+H50*0.05</f>
        <v>0</v>
      </c>
      <c r="O50" s="129"/>
      <c r="P50" s="123">
        <f t="shared" si="6"/>
        <v>3.25</v>
      </c>
      <c r="Q50" s="129"/>
      <c r="R50" s="123">
        <f t="shared" si="5"/>
        <v>0</v>
      </c>
      <c r="S50" s="129"/>
      <c r="T50" s="131"/>
    </row>
    <row r="51" spans="1:20" s="125" customFormat="1" x14ac:dyDescent="0.2">
      <c r="A51" s="146">
        <v>111</v>
      </c>
      <c r="B51" s="126">
        <v>93</v>
      </c>
      <c r="C51" s="141" t="s">
        <v>644</v>
      </c>
      <c r="D51" s="44">
        <v>44895</v>
      </c>
      <c r="E51" s="6" t="s">
        <v>587</v>
      </c>
      <c r="F51" s="127" t="s">
        <v>610</v>
      </c>
      <c r="G51" s="128">
        <v>51260824290</v>
      </c>
      <c r="H51" s="150"/>
      <c r="I51" s="150">
        <v>25</v>
      </c>
      <c r="J51" s="151"/>
      <c r="K51" s="130">
        <f t="shared" si="0"/>
        <v>28.25</v>
      </c>
      <c r="L51" s="123"/>
      <c r="M51" s="123">
        <f t="shared" si="1"/>
        <v>3.25</v>
      </c>
      <c r="N51" s="129"/>
      <c r="O51" s="129"/>
      <c r="P51" s="123">
        <f t="shared" si="6"/>
        <v>3.25</v>
      </c>
      <c r="Q51" s="129"/>
      <c r="R51" s="123">
        <f t="shared" si="5"/>
        <v>0</v>
      </c>
      <c r="S51" s="129"/>
      <c r="T51" s="131"/>
    </row>
    <row r="52" spans="1:20" s="125" customFormat="1" ht="13.5" thickBot="1" x14ac:dyDescent="0.25">
      <c r="A52" s="146">
        <v>112</v>
      </c>
      <c r="B52" s="203">
        <v>94</v>
      </c>
      <c r="C52" s="204" t="s">
        <v>642</v>
      </c>
      <c r="D52" s="215">
        <v>44895</v>
      </c>
      <c r="E52" s="206" t="s">
        <v>588</v>
      </c>
      <c r="F52" s="207" t="s">
        <v>595</v>
      </c>
      <c r="G52" s="208">
        <v>77465071491</v>
      </c>
      <c r="H52" s="209"/>
      <c r="I52" s="209">
        <v>120</v>
      </c>
      <c r="J52" s="210"/>
      <c r="K52" s="211">
        <f t="shared" si="0"/>
        <v>135.6</v>
      </c>
      <c r="L52" s="212"/>
      <c r="M52" s="212">
        <f t="shared" si="1"/>
        <v>15.600000000000001</v>
      </c>
      <c r="N52" s="213">
        <f t="shared" ref="N52" si="24">+H52*0.05</f>
        <v>0</v>
      </c>
      <c r="O52" s="213"/>
      <c r="P52" s="212">
        <f t="shared" si="6"/>
        <v>15.600000000000001</v>
      </c>
      <c r="Q52" s="213"/>
      <c r="R52" s="212">
        <f t="shared" si="5"/>
        <v>0</v>
      </c>
      <c r="S52" s="213"/>
      <c r="T52" s="131"/>
    </row>
    <row r="53" spans="1:20" s="125" customFormat="1" x14ac:dyDescent="0.2">
      <c r="A53" s="170">
        <v>114</v>
      </c>
      <c r="B53" s="171">
        <v>95</v>
      </c>
      <c r="C53" s="174" t="s">
        <v>645</v>
      </c>
      <c r="D53" s="216">
        <v>44902</v>
      </c>
      <c r="E53" s="174" t="s">
        <v>612</v>
      </c>
      <c r="F53" s="174" t="s">
        <v>609</v>
      </c>
      <c r="G53" s="175">
        <v>43965974818</v>
      </c>
      <c r="H53" s="176"/>
      <c r="I53" s="176">
        <v>20.61</v>
      </c>
      <c r="J53" s="177"/>
      <c r="K53" s="178">
        <f>H53+I53+J53+M53</f>
        <v>23.289300000000001</v>
      </c>
      <c r="L53" s="179"/>
      <c r="M53" s="179">
        <f>SUM(N53:S53)</f>
        <v>2.6793</v>
      </c>
      <c r="N53" s="180"/>
      <c r="O53" s="180"/>
      <c r="P53" s="179">
        <f t="shared" ref="P53:P79" si="25">+I53*0.13</f>
        <v>2.6793</v>
      </c>
      <c r="Q53" s="180"/>
      <c r="R53" s="179">
        <f>J53*0.25</f>
        <v>0</v>
      </c>
      <c r="S53" s="180"/>
      <c r="T53" s="131"/>
    </row>
    <row r="54" spans="1:20" s="125" customFormat="1" x14ac:dyDescent="0.2">
      <c r="A54" s="146">
        <v>115</v>
      </c>
      <c r="B54" s="126">
        <v>96</v>
      </c>
      <c r="C54" s="2" t="s">
        <v>646</v>
      </c>
      <c r="D54" s="169">
        <v>44902</v>
      </c>
      <c r="E54" s="2" t="s">
        <v>612</v>
      </c>
      <c r="F54" s="2" t="s">
        <v>609</v>
      </c>
      <c r="G54" s="128">
        <v>43965974818</v>
      </c>
      <c r="H54" s="150"/>
      <c r="I54" s="150">
        <v>21.16</v>
      </c>
      <c r="J54" s="151"/>
      <c r="K54" s="130">
        <f t="shared" ref="K54:K79" si="26">H54+I54+J54+M54</f>
        <v>23.910800000000002</v>
      </c>
      <c r="L54" s="123"/>
      <c r="M54" s="123">
        <f t="shared" ref="M54:M79" si="27">SUM(N54:S54)</f>
        <v>2.7507999999999999</v>
      </c>
      <c r="N54" s="129"/>
      <c r="O54" s="129"/>
      <c r="P54" s="123">
        <f t="shared" si="25"/>
        <v>2.7507999999999999</v>
      </c>
      <c r="Q54" s="129"/>
      <c r="R54" s="123">
        <f t="shared" ref="R54:R79" si="28">J54*0.25</f>
        <v>0</v>
      </c>
      <c r="S54" s="129"/>
      <c r="T54" s="131"/>
    </row>
    <row r="55" spans="1:20" s="125" customFormat="1" x14ac:dyDescent="0.2">
      <c r="A55" s="146">
        <v>116</v>
      </c>
      <c r="B55" s="126">
        <v>97</v>
      </c>
      <c r="C55" s="2" t="s">
        <v>647</v>
      </c>
      <c r="D55" s="169">
        <v>44902</v>
      </c>
      <c r="E55" s="2" t="s">
        <v>612</v>
      </c>
      <c r="F55" s="2" t="s">
        <v>609</v>
      </c>
      <c r="G55" s="128">
        <v>43965974818</v>
      </c>
      <c r="H55" s="150"/>
      <c r="I55" s="150">
        <v>28.45</v>
      </c>
      <c r="J55" s="151"/>
      <c r="K55" s="130">
        <f t="shared" si="26"/>
        <v>32.148499999999999</v>
      </c>
      <c r="L55" s="123"/>
      <c r="M55" s="123">
        <f t="shared" si="27"/>
        <v>3.6985000000000001</v>
      </c>
      <c r="N55" s="129"/>
      <c r="O55" s="129"/>
      <c r="P55" s="123">
        <f t="shared" si="25"/>
        <v>3.6985000000000001</v>
      </c>
      <c r="Q55" s="129"/>
      <c r="R55" s="123">
        <f t="shared" si="28"/>
        <v>0</v>
      </c>
      <c r="S55" s="129"/>
      <c r="T55" s="131"/>
    </row>
    <row r="56" spans="1:20" s="125" customFormat="1" x14ac:dyDescent="0.2">
      <c r="A56" s="146">
        <v>117</v>
      </c>
      <c r="B56" s="126">
        <v>98</v>
      </c>
      <c r="C56" s="2" t="s">
        <v>648</v>
      </c>
      <c r="D56" s="169">
        <v>44902</v>
      </c>
      <c r="E56" s="2" t="s">
        <v>612</v>
      </c>
      <c r="F56" s="2" t="s">
        <v>609</v>
      </c>
      <c r="G56" s="128">
        <v>43965974818</v>
      </c>
      <c r="H56" s="150"/>
      <c r="I56" s="150">
        <v>38.229999999999997</v>
      </c>
      <c r="J56" s="151"/>
      <c r="K56" s="130">
        <f t="shared" si="26"/>
        <v>43.1999</v>
      </c>
      <c r="L56" s="123"/>
      <c r="M56" s="123">
        <f t="shared" si="27"/>
        <v>4.9699</v>
      </c>
      <c r="N56" s="129"/>
      <c r="O56" s="129"/>
      <c r="P56" s="123">
        <f t="shared" si="25"/>
        <v>4.9699</v>
      </c>
      <c r="Q56" s="129"/>
      <c r="R56" s="123">
        <f t="shared" si="28"/>
        <v>0</v>
      </c>
      <c r="S56" s="129"/>
      <c r="T56" s="131"/>
    </row>
    <row r="57" spans="1:20" s="125" customFormat="1" x14ac:dyDescent="0.2">
      <c r="A57" s="146">
        <v>118</v>
      </c>
      <c r="B57" s="126">
        <v>99</v>
      </c>
      <c r="C57" s="141" t="s">
        <v>649</v>
      </c>
      <c r="D57" s="44">
        <v>44926</v>
      </c>
      <c r="E57" s="6" t="s">
        <v>587</v>
      </c>
      <c r="F57" s="127" t="s">
        <v>610</v>
      </c>
      <c r="G57" s="128">
        <v>51260824290</v>
      </c>
      <c r="H57" s="150"/>
      <c r="I57" s="150">
        <v>25</v>
      </c>
      <c r="J57" s="151"/>
      <c r="K57" s="130">
        <f t="shared" si="26"/>
        <v>28.25</v>
      </c>
      <c r="L57" s="123"/>
      <c r="M57" s="123">
        <f t="shared" si="27"/>
        <v>3.25</v>
      </c>
      <c r="N57" s="129"/>
      <c r="O57" s="129"/>
      <c r="P57" s="123">
        <f t="shared" si="25"/>
        <v>3.25</v>
      </c>
      <c r="Q57" s="129"/>
      <c r="R57" s="123">
        <f t="shared" si="28"/>
        <v>0</v>
      </c>
      <c r="S57" s="129"/>
      <c r="T57" s="131"/>
    </row>
    <row r="58" spans="1:20" s="125" customFormat="1" x14ac:dyDescent="0.2">
      <c r="A58" s="146">
        <v>119</v>
      </c>
      <c r="B58" s="126">
        <v>100</v>
      </c>
      <c r="C58" s="141" t="s">
        <v>650</v>
      </c>
      <c r="D58" s="44">
        <v>44926</v>
      </c>
      <c r="E58" s="6" t="s">
        <v>587</v>
      </c>
      <c r="F58" s="127" t="s">
        <v>610</v>
      </c>
      <c r="G58" s="128">
        <v>51260824290</v>
      </c>
      <c r="H58" s="150"/>
      <c r="I58" s="150">
        <v>25</v>
      </c>
      <c r="J58" s="151"/>
      <c r="K58" s="130">
        <f t="shared" si="26"/>
        <v>28.25</v>
      </c>
      <c r="L58" s="123"/>
      <c r="M58" s="123">
        <f t="shared" si="27"/>
        <v>3.25</v>
      </c>
      <c r="N58" s="129"/>
      <c r="O58" s="129"/>
      <c r="P58" s="123">
        <f t="shared" si="25"/>
        <v>3.25</v>
      </c>
      <c r="Q58" s="129"/>
      <c r="R58" s="123">
        <f t="shared" si="28"/>
        <v>0</v>
      </c>
      <c r="S58" s="129"/>
      <c r="T58" s="131"/>
    </row>
    <row r="59" spans="1:20" s="125" customFormat="1" x14ac:dyDescent="0.2">
      <c r="A59" s="146">
        <v>120</v>
      </c>
      <c r="B59" s="126">
        <v>101</v>
      </c>
      <c r="C59" s="141" t="s">
        <v>651</v>
      </c>
      <c r="D59" s="44">
        <v>44926</v>
      </c>
      <c r="E59" s="6" t="s">
        <v>587</v>
      </c>
      <c r="F59" s="127" t="s">
        <v>610</v>
      </c>
      <c r="G59" s="128">
        <v>51260824290</v>
      </c>
      <c r="H59" s="150"/>
      <c r="I59" s="150">
        <v>25</v>
      </c>
      <c r="J59" s="151"/>
      <c r="K59" s="130">
        <f t="shared" ref="K59" si="29">H59+I59+J59+M59</f>
        <v>28.25</v>
      </c>
      <c r="L59" s="123"/>
      <c r="M59" s="123">
        <f t="shared" ref="M59" si="30">SUM(N59:S59)</f>
        <v>3.25</v>
      </c>
      <c r="N59" s="129"/>
      <c r="O59" s="129"/>
      <c r="P59" s="123">
        <f t="shared" ref="P59" si="31">+I59*0.13</f>
        <v>3.25</v>
      </c>
      <c r="Q59" s="129"/>
      <c r="R59" s="123">
        <v>0</v>
      </c>
      <c r="S59" s="129"/>
      <c r="T59" s="131"/>
    </row>
    <row r="60" spans="1:20" s="125" customFormat="1" x14ac:dyDescent="0.2">
      <c r="A60" s="146">
        <v>121</v>
      </c>
      <c r="B60" s="126">
        <v>102</v>
      </c>
      <c r="C60" s="141" t="s">
        <v>651</v>
      </c>
      <c r="D60" s="44">
        <v>44926</v>
      </c>
      <c r="E60" s="6" t="s">
        <v>588</v>
      </c>
      <c r="F60" s="127" t="s">
        <v>595</v>
      </c>
      <c r="G60" s="128">
        <v>77465071491</v>
      </c>
      <c r="H60" s="150"/>
      <c r="I60" s="150">
        <v>120</v>
      </c>
      <c r="J60" s="151"/>
      <c r="K60" s="130">
        <f t="shared" si="26"/>
        <v>135.6</v>
      </c>
      <c r="L60" s="123"/>
      <c r="M60" s="123">
        <f t="shared" si="27"/>
        <v>15.600000000000001</v>
      </c>
      <c r="N60" s="129"/>
      <c r="O60" s="129"/>
      <c r="P60" s="123">
        <f t="shared" si="25"/>
        <v>15.600000000000001</v>
      </c>
      <c r="Q60" s="129"/>
      <c r="R60" s="123">
        <f t="shared" si="28"/>
        <v>0</v>
      </c>
      <c r="S60" s="129"/>
      <c r="T60" s="131"/>
    </row>
    <row r="61" spans="1:20" s="125" customFormat="1" ht="13.5" thickBot="1" x14ac:dyDescent="0.25">
      <c r="A61" s="192">
        <v>122</v>
      </c>
      <c r="B61" s="193">
        <v>103</v>
      </c>
      <c r="C61" s="194" t="s">
        <v>652</v>
      </c>
      <c r="D61" s="219">
        <v>44926</v>
      </c>
      <c r="E61" s="196" t="s">
        <v>589</v>
      </c>
      <c r="F61" s="196" t="s">
        <v>594</v>
      </c>
      <c r="G61" s="197">
        <v>26618043061</v>
      </c>
      <c r="H61" s="198"/>
      <c r="I61" s="198"/>
      <c r="J61" s="199">
        <v>376.73</v>
      </c>
      <c r="K61" s="200">
        <f t="shared" si="26"/>
        <v>470.91250000000002</v>
      </c>
      <c r="L61" s="201"/>
      <c r="M61" s="201">
        <f t="shared" si="27"/>
        <v>94.182500000000005</v>
      </c>
      <c r="N61" s="202"/>
      <c r="O61" s="202"/>
      <c r="P61" s="201">
        <f t="shared" si="25"/>
        <v>0</v>
      </c>
      <c r="Q61" s="202"/>
      <c r="R61" s="201">
        <f t="shared" si="28"/>
        <v>94.182500000000005</v>
      </c>
      <c r="S61" s="202"/>
      <c r="T61" s="131"/>
    </row>
    <row r="62" spans="1:20" s="125" customFormat="1" x14ac:dyDescent="0.2">
      <c r="A62" s="146"/>
      <c r="B62" s="181"/>
      <c r="C62" s="182"/>
      <c r="D62" s="217"/>
      <c r="E62" s="184"/>
      <c r="F62" s="185"/>
      <c r="G62" s="186"/>
      <c r="H62" s="187"/>
      <c r="I62" s="187"/>
      <c r="J62" s="218"/>
      <c r="K62" s="189">
        <f t="shared" si="26"/>
        <v>0</v>
      </c>
      <c r="L62" s="190"/>
      <c r="M62" s="190">
        <f t="shared" si="27"/>
        <v>0</v>
      </c>
      <c r="N62" s="191"/>
      <c r="O62" s="191"/>
      <c r="P62" s="190">
        <f t="shared" si="25"/>
        <v>0</v>
      </c>
      <c r="Q62" s="191"/>
      <c r="R62" s="190">
        <f t="shared" si="28"/>
        <v>0</v>
      </c>
      <c r="S62" s="191"/>
      <c r="T62" s="131"/>
    </row>
    <row r="63" spans="1:20" s="125" customFormat="1" x14ac:dyDescent="0.2">
      <c r="A63" s="146"/>
      <c r="B63" s="126"/>
      <c r="C63" s="141"/>
      <c r="D63" s="44"/>
      <c r="E63" s="6"/>
      <c r="F63" s="127"/>
      <c r="G63" s="128"/>
      <c r="H63" s="150"/>
      <c r="I63" s="150"/>
      <c r="J63" s="151"/>
      <c r="K63" s="130">
        <f t="shared" si="26"/>
        <v>0</v>
      </c>
      <c r="L63" s="123"/>
      <c r="M63" s="123">
        <f t="shared" si="27"/>
        <v>0</v>
      </c>
      <c r="N63" s="129"/>
      <c r="O63" s="129"/>
      <c r="P63" s="123">
        <f t="shared" si="25"/>
        <v>0</v>
      </c>
      <c r="Q63" s="129"/>
      <c r="R63" s="123">
        <f t="shared" si="28"/>
        <v>0</v>
      </c>
      <c r="S63" s="129"/>
      <c r="T63" s="131"/>
    </row>
    <row r="64" spans="1:20" s="125" customFormat="1" x14ac:dyDescent="0.2">
      <c r="A64" s="146"/>
      <c r="B64" s="126"/>
      <c r="C64" s="141"/>
      <c r="D64" s="44"/>
      <c r="E64" s="6"/>
      <c r="F64" s="127"/>
      <c r="G64" s="128"/>
      <c r="H64" s="150"/>
      <c r="I64" s="150"/>
      <c r="J64" s="151"/>
      <c r="K64" s="130">
        <f t="shared" si="26"/>
        <v>0</v>
      </c>
      <c r="L64" s="123"/>
      <c r="M64" s="123">
        <f t="shared" si="27"/>
        <v>0</v>
      </c>
      <c r="N64" s="129"/>
      <c r="O64" s="129"/>
      <c r="P64" s="123">
        <f t="shared" si="25"/>
        <v>0</v>
      </c>
      <c r="Q64" s="129"/>
      <c r="R64" s="123">
        <f t="shared" si="28"/>
        <v>0</v>
      </c>
      <c r="S64" s="129"/>
      <c r="T64" s="131"/>
    </row>
    <row r="65" spans="1:20" s="125" customFormat="1" x14ac:dyDescent="0.2">
      <c r="A65" s="146"/>
      <c r="B65" s="126"/>
      <c r="C65" s="141"/>
      <c r="D65" s="44"/>
      <c r="E65" s="6"/>
      <c r="F65" s="127"/>
      <c r="G65" s="128"/>
      <c r="H65" s="150"/>
      <c r="I65" s="150"/>
      <c r="J65" s="151"/>
      <c r="K65" s="130"/>
      <c r="L65" s="123"/>
      <c r="M65" s="123"/>
      <c r="N65" s="129"/>
      <c r="O65" s="129"/>
      <c r="P65" s="123"/>
      <c r="Q65" s="129"/>
      <c r="R65" s="123"/>
      <c r="S65" s="129"/>
      <c r="T65" s="131"/>
    </row>
    <row r="66" spans="1:20" s="125" customFormat="1" x14ac:dyDescent="0.2">
      <c r="A66" s="146"/>
      <c r="B66" s="126"/>
      <c r="C66" s="141"/>
      <c r="D66" s="44"/>
      <c r="E66" s="2"/>
      <c r="F66" s="2"/>
      <c r="G66" s="128"/>
      <c r="H66" s="150"/>
      <c r="I66" s="150"/>
      <c r="J66" s="151"/>
      <c r="K66" s="130">
        <f t="shared" ref="K66:K74" si="32">H66+I66+J66+M66</f>
        <v>0</v>
      </c>
      <c r="L66" s="123"/>
      <c r="M66" s="123">
        <f t="shared" ref="M66:M74" si="33">SUM(N66:S66)</f>
        <v>0</v>
      </c>
      <c r="N66" s="129"/>
      <c r="O66" s="129"/>
      <c r="P66" s="123">
        <f t="shared" ref="P66:P74" si="34">+I66*0.13</f>
        <v>0</v>
      </c>
      <c r="Q66" s="129"/>
      <c r="R66" s="123">
        <f t="shared" ref="R66:R74" si="35">J66*0.25</f>
        <v>0</v>
      </c>
      <c r="S66" s="129"/>
      <c r="T66" s="131"/>
    </row>
    <row r="67" spans="1:20" s="125" customFormat="1" x14ac:dyDescent="0.2">
      <c r="A67" s="146"/>
      <c r="B67" s="126"/>
      <c r="C67" s="141"/>
      <c r="D67" s="44"/>
      <c r="E67" s="2"/>
      <c r="F67" s="2"/>
      <c r="G67" s="128"/>
      <c r="H67" s="150"/>
      <c r="I67" s="150"/>
      <c r="J67" s="151"/>
      <c r="K67" s="130">
        <f t="shared" si="32"/>
        <v>0</v>
      </c>
      <c r="L67" s="123"/>
      <c r="M67" s="123">
        <f t="shared" si="33"/>
        <v>0</v>
      </c>
      <c r="N67" s="129"/>
      <c r="O67" s="129"/>
      <c r="P67" s="123">
        <f t="shared" si="34"/>
        <v>0</v>
      </c>
      <c r="Q67" s="129"/>
      <c r="R67" s="123">
        <f t="shared" si="35"/>
        <v>0</v>
      </c>
      <c r="S67" s="129"/>
      <c r="T67" s="131"/>
    </row>
    <row r="68" spans="1:20" s="125" customFormat="1" x14ac:dyDescent="0.2">
      <c r="A68" s="146"/>
      <c r="B68" s="126"/>
      <c r="C68" s="141"/>
      <c r="D68" s="44"/>
      <c r="E68" s="2"/>
      <c r="F68" s="2"/>
      <c r="G68" s="128"/>
      <c r="H68" s="150"/>
      <c r="I68" s="150"/>
      <c r="J68" s="151"/>
      <c r="K68" s="130">
        <f t="shared" si="32"/>
        <v>0</v>
      </c>
      <c r="L68" s="123"/>
      <c r="M68" s="123">
        <f t="shared" si="33"/>
        <v>0</v>
      </c>
      <c r="N68" s="129"/>
      <c r="O68" s="129"/>
      <c r="P68" s="123">
        <f t="shared" si="34"/>
        <v>0</v>
      </c>
      <c r="Q68" s="129"/>
      <c r="R68" s="123">
        <f t="shared" si="35"/>
        <v>0</v>
      </c>
      <c r="S68" s="129"/>
      <c r="T68" s="131"/>
    </row>
    <row r="69" spans="1:20" s="125" customFormat="1" x14ac:dyDescent="0.2">
      <c r="A69" s="146"/>
      <c r="B69" s="126"/>
      <c r="C69" s="141"/>
      <c r="D69" s="44"/>
      <c r="E69" s="2"/>
      <c r="F69" s="2"/>
      <c r="G69" s="128"/>
      <c r="H69" s="150"/>
      <c r="I69" s="150"/>
      <c r="J69" s="151"/>
      <c r="K69" s="130">
        <f t="shared" si="32"/>
        <v>0</v>
      </c>
      <c r="L69" s="123"/>
      <c r="M69" s="123">
        <f t="shared" si="33"/>
        <v>0</v>
      </c>
      <c r="N69" s="129"/>
      <c r="O69" s="129"/>
      <c r="P69" s="123">
        <f t="shared" si="34"/>
        <v>0</v>
      </c>
      <c r="Q69" s="129"/>
      <c r="R69" s="123">
        <f t="shared" si="35"/>
        <v>0</v>
      </c>
      <c r="S69" s="129"/>
      <c r="T69" s="131"/>
    </row>
    <row r="70" spans="1:20" s="125" customFormat="1" x14ac:dyDescent="0.2">
      <c r="A70" s="146"/>
      <c r="B70" s="126"/>
      <c r="C70" s="141"/>
      <c r="D70" s="44"/>
      <c r="E70" s="6"/>
      <c r="F70" s="127"/>
      <c r="G70" s="128"/>
      <c r="H70" s="150"/>
      <c r="I70" s="150"/>
      <c r="J70" s="151"/>
      <c r="K70" s="130">
        <f t="shared" si="32"/>
        <v>0</v>
      </c>
      <c r="L70" s="123"/>
      <c r="M70" s="123">
        <f t="shared" si="33"/>
        <v>0</v>
      </c>
      <c r="N70" s="129"/>
      <c r="O70" s="129"/>
      <c r="P70" s="123">
        <f t="shared" si="34"/>
        <v>0</v>
      </c>
      <c r="Q70" s="129"/>
      <c r="R70" s="123">
        <f t="shared" si="35"/>
        <v>0</v>
      </c>
      <c r="S70" s="129"/>
      <c r="T70" s="131"/>
    </row>
    <row r="71" spans="1:20" s="125" customFormat="1" x14ac:dyDescent="0.2">
      <c r="A71" s="146"/>
      <c r="B71" s="126"/>
      <c r="C71" s="141"/>
      <c r="D71" s="44"/>
      <c r="E71" s="6"/>
      <c r="F71" s="127"/>
      <c r="G71" s="128"/>
      <c r="H71" s="150"/>
      <c r="I71" s="150"/>
      <c r="J71" s="151"/>
      <c r="K71" s="130">
        <f t="shared" si="32"/>
        <v>0</v>
      </c>
      <c r="L71" s="123"/>
      <c r="M71" s="123">
        <f t="shared" si="33"/>
        <v>0</v>
      </c>
      <c r="N71" s="129"/>
      <c r="O71" s="129"/>
      <c r="P71" s="123">
        <f t="shared" si="34"/>
        <v>0</v>
      </c>
      <c r="Q71" s="129"/>
      <c r="R71" s="123">
        <f t="shared" si="35"/>
        <v>0</v>
      </c>
      <c r="S71" s="129"/>
      <c r="T71" s="131"/>
    </row>
    <row r="72" spans="1:20" s="125" customFormat="1" x14ac:dyDescent="0.2">
      <c r="A72" s="146"/>
      <c r="B72" s="126"/>
      <c r="C72" s="141"/>
      <c r="D72" s="44"/>
      <c r="E72" s="6"/>
      <c r="F72" s="127"/>
      <c r="G72" s="128"/>
      <c r="H72" s="150"/>
      <c r="I72" s="150"/>
      <c r="J72" s="151"/>
      <c r="K72" s="130">
        <f t="shared" si="32"/>
        <v>0</v>
      </c>
      <c r="L72" s="123"/>
      <c r="M72" s="123">
        <f t="shared" si="33"/>
        <v>0</v>
      </c>
      <c r="N72" s="129"/>
      <c r="O72" s="129"/>
      <c r="P72" s="123">
        <f t="shared" si="34"/>
        <v>0</v>
      </c>
      <c r="Q72" s="129"/>
      <c r="R72" s="123">
        <f t="shared" si="35"/>
        <v>0</v>
      </c>
      <c r="S72" s="129"/>
      <c r="T72" s="131"/>
    </row>
    <row r="73" spans="1:20" s="125" customFormat="1" x14ac:dyDescent="0.2">
      <c r="A73" s="146"/>
      <c r="B73" s="126"/>
      <c r="C73" s="141"/>
      <c r="D73" s="44"/>
      <c r="E73" s="6"/>
      <c r="F73" s="127"/>
      <c r="G73" s="128"/>
      <c r="H73" s="150"/>
      <c r="I73" s="150"/>
      <c r="J73" s="151"/>
      <c r="K73" s="130">
        <f t="shared" si="32"/>
        <v>0</v>
      </c>
      <c r="L73" s="123"/>
      <c r="M73" s="123">
        <f t="shared" si="33"/>
        <v>0</v>
      </c>
      <c r="N73" s="129"/>
      <c r="O73" s="129"/>
      <c r="P73" s="123">
        <f t="shared" si="34"/>
        <v>0</v>
      </c>
      <c r="Q73" s="129"/>
      <c r="R73" s="123">
        <f t="shared" si="35"/>
        <v>0</v>
      </c>
      <c r="S73" s="129"/>
      <c r="T73" s="131"/>
    </row>
    <row r="74" spans="1:20" s="125" customFormat="1" x14ac:dyDescent="0.2">
      <c r="A74" s="146"/>
      <c r="B74" s="126"/>
      <c r="C74" s="141"/>
      <c r="D74" s="44"/>
      <c r="E74" s="2"/>
      <c r="F74" s="2"/>
      <c r="G74" s="128"/>
      <c r="H74" s="150"/>
      <c r="I74" s="150"/>
      <c r="J74" s="151"/>
      <c r="K74" s="130">
        <f t="shared" si="32"/>
        <v>0</v>
      </c>
      <c r="L74" s="123"/>
      <c r="M74" s="123">
        <f t="shared" si="33"/>
        <v>0</v>
      </c>
      <c r="N74" s="129"/>
      <c r="O74" s="129"/>
      <c r="P74" s="123">
        <f t="shared" si="34"/>
        <v>0</v>
      </c>
      <c r="Q74" s="129"/>
      <c r="R74" s="123">
        <f t="shared" si="35"/>
        <v>0</v>
      </c>
      <c r="S74" s="129"/>
      <c r="T74" s="131"/>
    </row>
    <row r="75" spans="1:20" s="125" customFormat="1" x14ac:dyDescent="0.2">
      <c r="A75" s="146"/>
      <c r="B75" s="126"/>
      <c r="C75" s="141"/>
      <c r="D75" s="44"/>
      <c r="E75" s="2"/>
      <c r="F75" s="2"/>
      <c r="G75" s="128"/>
      <c r="H75" s="150"/>
      <c r="I75" s="150"/>
      <c r="J75" s="151"/>
      <c r="K75" s="130">
        <f t="shared" si="26"/>
        <v>0</v>
      </c>
      <c r="L75" s="123"/>
      <c r="M75" s="123">
        <f t="shared" si="27"/>
        <v>0</v>
      </c>
      <c r="N75" s="129"/>
      <c r="O75" s="129"/>
      <c r="P75" s="123">
        <f t="shared" si="25"/>
        <v>0</v>
      </c>
      <c r="Q75" s="129"/>
      <c r="R75" s="123">
        <f t="shared" si="28"/>
        <v>0</v>
      </c>
      <c r="S75" s="129"/>
      <c r="T75" s="131"/>
    </row>
    <row r="76" spans="1:20" s="125" customFormat="1" x14ac:dyDescent="0.2">
      <c r="A76" s="146"/>
      <c r="B76" s="126"/>
      <c r="C76" s="141"/>
      <c r="D76" s="44"/>
      <c r="E76" s="2"/>
      <c r="F76" s="2"/>
      <c r="G76" s="128"/>
      <c r="H76" s="150"/>
      <c r="I76" s="150"/>
      <c r="J76" s="151"/>
      <c r="K76" s="130">
        <f t="shared" si="26"/>
        <v>0</v>
      </c>
      <c r="L76" s="123"/>
      <c r="M76" s="123">
        <f t="shared" si="27"/>
        <v>0</v>
      </c>
      <c r="N76" s="129"/>
      <c r="O76" s="129"/>
      <c r="P76" s="123">
        <f t="shared" si="25"/>
        <v>0</v>
      </c>
      <c r="Q76" s="129"/>
      <c r="R76" s="123">
        <f t="shared" si="28"/>
        <v>0</v>
      </c>
      <c r="S76" s="129"/>
      <c r="T76" s="131"/>
    </row>
    <row r="77" spans="1:20" s="125" customFormat="1" x14ac:dyDescent="0.2">
      <c r="A77" s="146"/>
      <c r="B77" s="126"/>
      <c r="C77" s="141"/>
      <c r="D77" s="44"/>
      <c r="E77" s="6"/>
      <c r="F77" s="127"/>
      <c r="G77" s="128"/>
      <c r="H77" s="150"/>
      <c r="I77" s="150"/>
      <c r="J77" s="151"/>
      <c r="K77" s="130">
        <f t="shared" si="26"/>
        <v>0</v>
      </c>
      <c r="L77" s="123"/>
      <c r="M77" s="123">
        <f t="shared" si="27"/>
        <v>0</v>
      </c>
      <c r="N77" s="129"/>
      <c r="O77" s="129"/>
      <c r="P77" s="123">
        <f t="shared" si="25"/>
        <v>0</v>
      </c>
      <c r="Q77" s="129"/>
      <c r="R77" s="123">
        <f t="shared" si="28"/>
        <v>0</v>
      </c>
      <c r="S77" s="129"/>
      <c r="T77" s="131"/>
    </row>
    <row r="78" spans="1:20" s="125" customFormat="1" x14ac:dyDescent="0.2">
      <c r="A78" s="146"/>
      <c r="B78" s="126"/>
      <c r="C78" s="141"/>
      <c r="D78" s="44"/>
      <c r="E78" s="6"/>
      <c r="F78" s="127"/>
      <c r="G78" s="128"/>
      <c r="H78" s="150"/>
      <c r="I78" s="150"/>
      <c r="J78" s="151"/>
      <c r="K78" s="130">
        <f t="shared" si="26"/>
        <v>0</v>
      </c>
      <c r="L78" s="123"/>
      <c r="M78" s="123">
        <f t="shared" si="27"/>
        <v>0</v>
      </c>
      <c r="N78" s="129"/>
      <c r="O78" s="129"/>
      <c r="P78" s="123">
        <f t="shared" si="25"/>
        <v>0</v>
      </c>
      <c r="Q78" s="129"/>
      <c r="R78" s="123">
        <f t="shared" si="28"/>
        <v>0</v>
      </c>
      <c r="S78" s="129"/>
      <c r="T78" s="131"/>
    </row>
    <row r="79" spans="1:20" s="125" customFormat="1" x14ac:dyDescent="0.2">
      <c r="A79" s="146"/>
      <c r="B79" s="126"/>
      <c r="C79" s="141"/>
      <c r="D79" s="44"/>
      <c r="E79" s="6"/>
      <c r="F79" s="127"/>
      <c r="G79" s="128"/>
      <c r="H79" s="150"/>
      <c r="I79" s="150"/>
      <c r="J79" s="151"/>
      <c r="K79" s="130">
        <f t="shared" si="26"/>
        <v>0</v>
      </c>
      <c r="L79" s="123"/>
      <c r="M79" s="123">
        <f t="shared" si="27"/>
        <v>0</v>
      </c>
      <c r="N79" s="129"/>
      <c r="O79" s="129"/>
      <c r="P79" s="123">
        <f t="shared" si="25"/>
        <v>0</v>
      </c>
      <c r="Q79" s="129"/>
      <c r="R79" s="123">
        <f t="shared" si="28"/>
        <v>0</v>
      </c>
      <c r="S79" s="129"/>
      <c r="T79" s="131"/>
    </row>
    <row r="80" spans="1:20" s="125" customFormat="1" x14ac:dyDescent="0.2">
      <c r="A80" s="146"/>
      <c r="B80" s="126"/>
      <c r="C80" s="141"/>
      <c r="D80" s="44"/>
      <c r="E80" s="6"/>
      <c r="F80" s="127"/>
      <c r="G80" s="128"/>
      <c r="H80" s="148"/>
      <c r="I80" s="148"/>
      <c r="J80" s="152"/>
      <c r="K80" s="130">
        <f>H80+I80+J80+M80</f>
        <v>0</v>
      </c>
      <c r="L80" s="37"/>
      <c r="M80" s="123">
        <f>SUM(N80:S80)</f>
        <v>0</v>
      </c>
      <c r="N80" s="6"/>
      <c r="O80" s="6"/>
      <c r="P80" s="123">
        <f>+I80*0.13</f>
        <v>0</v>
      </c>
      <c r="Q80" s="6"/>
      <c r="R80" s="123">
        <f>J80*0.25</f>
        <v>0</v>
      </c>
      <c r="S80" s="6"/>
      <c r="T80" s="131"/>
    </row>
    <row r="81" spans="1:20" s="125" customFormat="1" x14ac:dyDescent="0.2">
      <c r="A81" s="146"/>
      <c r="B81" s="126"/>
      <c r="C81" s="141"/>
      <c r="D81" s="44"/>
      <c r="E81" s="6"/>
      <c r="F81" s="127"/>
      <c r="G81" s="128"/>
      <c r="H81" s="148"/>
      <c r="I81" s="148"/>
      <c r="J81" s="152"/>
      <c r="K81" s="130"/>
      <c r="L81" s="37"/>
      <c r="M81" s="123"/>
      <c r="N81" s="6"/>
      <c r="O81" s="6"/>
      <c r="P81" s="123"/>
      <c r="Q81" s="6"/>
      <c r="R81" s="123"/>
      <c r="S81" s="6"/>
      <c r="T81" s="131"/>
    </row>
    <row r="82" spans="1:20" s="125" customFormat="1" x14ac:dyDescent="0.2">
      <c r="A82" s="146"/>
      <c r="B82" s="126"/>
      <c r="C82" s="141"/>
      <c r="D82" s="44"/>
      <c r="E82" s="2"/>
      <c r="F82" s="2"/>
      <c r="G82" s="128"/>
      <c r="H82" s="148"/>
      <c r="I82" s="148"/>
      <c r="J82" s="152"/>
      <c r="K82" s="130">
        <f>H82+I82+J82+M82</f>
        <v>0</v>
      </c>
      <c r="L82" s="37"/>
      <c r="M82" s="123">
        <f>SUM(N82:S82)</f>
        <v>0</v>
      </c>
      <c r="N82" s="6"/>
      <c r="O82" s="6"/>
      <c r="P82" s="123">
        <f>+I82*0.13</f>
        <v>0</v>
      </c>
      <c r="Q82" s="6"/>
      <c r="R82" s="123">
        <f>J82*0.25</f>
        <v>0</v>
      </c>
      <c r="S82" s="6"/>
    </row>
    <row r="83" spans="1:20" s="125" customFormat="1" x14ac:dyDescent="0.2">
      <c r="A83" s="146"/>
      <c r="B83" s="126"/>
      <c r="C83" s="6"/>
      <c r="D83" s="154"/>
      <c r="E83" s="6"/>
      <c r="F83" s="6"/>
      <c r="G83" s="6"/>
      <c r="H83" s="6"/>
      <c r="I83" s="6"/>
      <c r="J83" s="152"/>
      <c r="K83" s="130">
        <f t="shared" ref="K83:K91" si="36">H83+I83+J83+M83</f>
        <v>0</v>
      </c>
      <c r="L83" s="6"/>
      <c r="M83" s="123">
        <f t="shared" ref="M83:M91" si="37">SUM(N83:S83)</f>
        <v>0</v>
      </c>
      <c r="N83" s="6"/>
      <c r="O83" s="6"/>
      <c r="P83" s="123">
        <f t="shared" ref="P83:P91" si="38">+I83*0.13</f>
        <v>0</v>
      </c>
      <c r="Q83" s="6"/>
      <c r="R83" s="123">
        <f t="shared" ref="R83:R91" si="39">J83*0.25</f>
        <v>0</v>
      </c>
      <c r="S83" s="6"/>
    </row>
    <row r="84" spans="1:20" s="125" customFormat="1" x14ac:dyDescent="0.2">
      <c r="A84" s="146"/>
      <c r="B84" s="126"/>
      <c r="C84" s="6"/>
      <c r="D84" s="154"/>
      <c r="E84" s="6"/>
      <c r="F84" s="6"/>
      <c r="G84" s="6"/>
      <c r="H84" s="6"/>
      <c r="I84" s="6"/>
      <c r="J84" s="152"/>
      <c r="K84" s="130">
        <f t="shared" si="36"/>
        <v>0</v>
      </c>
      <c r="L84" s="6"/>
      <c r="M84" s="123">
        <f t="shared" si="37"/>
        <v>0</v>
      </c>
      <c r="N84" s="6"/>
      <c r="O84" s="6"/>
      <c r="P84" s="123">
        <f t="shared" si="38"/>
        <v>0</v>
      </c>
      <c r="Q84" s="6"/>
      <c r="R84" s="123">
        <f t="shared" si="39"/>
        <v>0</v>
      </c>
      <c r="S84" s="6"/>
    </row>
    <row r="85" spans="1:20" s="125" customFormat="1" x14ac:dyDescent="0.2">
      <c r="A85" s="146"/>
      <c r="B85" s="126"/>
      <c r="C85" s="141"/>
      <c r="D85" s="44"/>
      <c r="E85" s="2"/>
      <c r="F85" s="2"/>
      <c r="G85" s="128"/>
      <c r="H85" s="6"/>
      <c r="I85" s="6"/>
      <c r="J85" s="152"/>
      <c r="K85" s="130">
        <f t="shared" si="36"/>
        <v>0</v>
      </c>
      <c r="L85" s="6"/>
      <c r="M85" s="123">
        <f t="shared" si="37"/>
        <v>0</v>
      </c>
      <c r="N85" s="6"/>
      <c r="O85" s="6"/>
      <c r="P85" s="123">
        <f t="shared" si="38"/>
        <v>0</v>
      </c>
      <c r="Q85" s="6"/>
      <c r="R85" s="123">
        <f t="shared" si="39"/>
        <v>0</v>
      </c>
      <c r="S85" s="6"/>
    </row>
    <row r="86" spans="1:20" s="125" customFormat="1" x14ac:dyDescent="0.2">
      <c r="A86" s="146"/>
      <c r="B86" s="126"/>
      <c r="C86" s="141"/>
      <c r="D86" s="44"/>
      <c r="E86" s="2"/>
      <c r="F86" s="2"/>
      <c r="G86" s="128"/>
      <c r="H86" s="6"/>
      <c r="I86" s="6"/>
      <c r="J86" s="152"/>
      <c r="K86" s="130">
        <f t="shared" si="36"/>
        <v>0</v>
      </c>
      <c r="L86" s="6"/>
      <c r="M86" s="123">
        <f t="shared" si="37"/>
        <v>0</v>
      </c>
      <c r="N86" s="6"/>
      <c r="O86" s="6"/>
      <c r="P86" s="123">
        <f t="shared" si="38"/>
        <v>0</v>
      </c>
      <c r="Q86" s="6"/>
      <c r="R86" s="123">
        <f t="shared" si="39"/>
        <v>0</v>
      </c>
      <c r="S86" s="6"/>
    </row>
    <row r="87" spans="1:20" x14ac:dyDescent="0.2">
      <c r="A87" s="146"/>
      <c r="B87" s="126"/>
      <c r="C87" s="141"/>
      <c r="D87" s="44"/>
      <c r="E87" s="6"/>
      <c r="F87" s="127"/>
      <c r="G87" s="128"/>
      <c r="H87" s="6"/>
      <c r="I87" s="148"/>
      <c r="J87" s="152"/>
      <c r="K87" s="130">
        <f t="shared" si="36"/>
        <v>0</v>
      </c>
      <c r="L87" s="6"/>
      <c r="M87" s="123">
        <f t="shared" si="37"/>
        <v>0</v>
      </c>
      <c r="N87" s="6"/>
      <c r="O87" s="6"/>
      <c r="P87" s="123">
        <f t="shared" si="38"/>
        <v>0</v>
      </c>
      <c r="Q87" s="6"/>
      <c r="R87" s="123">
        <f t="shared" si="39"/>
        <v>0</v>
      </c>
      <c r="S87" s="6"/>
    </row>
    <row r="88" spans="1:20" x14ac:dyDescent="0.2">
      <c r="A88" s="146"/>
      <c r="B88" s="126"/>
      <c r="C88" s="141"/>
      <c r="D88" s="44"/>
      <c r="E88" s="6"/>
      <c r="F88" s="127"/>
      <c r="G88" s="128"/>
      <c r="H88" s="6"/>
      <c r="I88" s="148"/>
      <c r="J88" s="152"/>
      <c r="K88" s="130">
        <f t="shared" si="36"/>
        <v>0</v>
      </c>
      <c r="L88" s="6"/>
      <c r="M88" s="123">
        <f t="shared" si="37"/>
        <v>0</v>
      </c>
      <c r="N88" s="6"/>
      <c r="O88" s="6"/>
      <c r="P88" s="123">
        <f t="shared" si="38"/>
        <v>0</v>
      </c>
      <c r="Q88" s="6"/>
      <c r="R88" s="123">
        <f t="shared" si="39"/>
        <v>0</v>
      </c>
      <c r="S88" s="6"/>
    </row>
    <row r="89" spans="1:20" x14ac:dyDescent="0.2">
      <c r="A89" s="146"/>
      <c r="B89" s="126"/>
      <c r="C89" s="141"/>
      <c r="D89" s="44"/>
      <c r="E89" s="6"/>
      <c r="F89" s="127"/>
      <c r="G89" s="128"/>
      <c r="H89" s="6"/>
      <c r="I89" s="148"/>
      <c r="J89" s="152"/>
      <c r="K89" s="130">
        <f t="shared" si="36"/>
        <v>0</v>
      </c>
      <c r="L89" s="6"/>
      <c r="M89" s="123">
        <f t="shared" si="37"/>
        <v>0</v>
      </c>
      <c r="N89" s="6"/>
      <c r="O89" s="6"/>
      <c r="P89" s="123">
        <f t="shared" si="38"/>
        <v>0</v>
      </c>
      <c r="Q89" s="6"/>
      <c r="R89" s="123">
        <f t="shared" si="39"/>
        <v>0</v>
      </c>
      <c r="S89" s="6"/>
    </row>
    <row r="90" spans="1:20" x14ac:dyDescent="0.2">
      <c r="A90" s="146"/>
      <c r="B90" s="126"/>
      <c r="C90" s="141"/>
      <c r="D90" s="44"/>
      <c r="E90" s="6"/>
      <c r="F90" s="127"/>
      <c r="G90" s="128"/>
      <c r="H90" s="6"/>
      <c r="I90" s="148"/>
      <c r="J90" s="152"/>
      <c r="K90" s="130">
        <f t="shared" si="36"/>
        <v>0</v>
      </c>
      <c r="L90" s="6"/>
      <c r="M90" s="123">
        <f t="shared" si="37"/>
        <v>0</v>
      </c>
      <c r="N90" s="6"/>
      <c r="O90" s="6"/>
      <c r="P90" s="123">
        <f t="shared" si="38"/>
        <v>0</v>
      </c>
      <c r="Q90" s="6"/>
      <c r="R90" s="123">
        <f t="shared" si="39"/>
        <v>0</v>
      </c>
      <c r="S90" s="6"/>
    </row>
    <row r="91" spans="1:20" x14ac:dyDescent="0.2">
      <c r="B91" s="126"/>
      <c r="C91" s="6"/>
      <c r="D91" s="154"/>
      <c r="E91" s="6"/>
      <c r="F91" s="6"/>
      <c r="G91" s="6"/>
      <c r="H91" s="6"/>
      <c r="I91" s="148"/>
      <c r="J91" s="152"/>
      <c r="K91" s="130">
        <f t="shared" si="36"/>
        <v>0</v>
      </c>
      <c r="L91" s="6"/>
      <c r="M91" s="123">
        <f t="shared" si="37"/>
        <v>0</v>
      </c>
      <c r="N91" s="6"/>
      <c r="O91" s="6"/>
      <c r="P91" s="123">
        <f t="shared" si="38"/>
        <v>0</v>
      </c>
      <c r="Q91" s="6"/>
      <c r="R91" s="123">
        <f t="shared" si="39"/>
        <v>0</v>
      </c>
      <c r="S91" s="6"/>
    </row>
    <row r="92" spans="1:20" x14ac:dyDescent="0.2">
      <c r="A92" s="146"/>
      <c r="B92" s="126"/>
      <c r="C92" s="141"/>
      <c r="D92" s="44"/>
      <c r="E92" s="2"/>
      <c r="F92" s="2"/>
      <c r="G92" s="128"/>
      <c r="H92" s="6"/>
      <c r="I92" s="148"/>
      <c r="J92" s="152"/>
      <c r="K92" s="130">
        <f t="shared" ref="K92:K93" si="40">H92+I92+J92+M92</f>
        <v>0</v>
      </c>
      <c r="L92" s="6"/>
      <c r="M92" s="123">
        <f>SUM(N92:S92)</f>
        <v>0</v>
      </c>
      <c r="N92" s="6"/>
      <c r="O92" s="6"/>
      <c r="P92" s="123">
        <f t="shared" ref="P92:P95" si="41">+I92*0.13</f>
        <v>0</v>
      </c>
      <c r="Q92" s="6"/>
      <c r="R92" s="123">
        <f t="shared" ref="R92:R94" si="42">J92*0.25</f>
        <v>0</v>
      </c>
      <c r="S92" s="6"/>
    </row>
    <row r="93" spans="1:20" x14ac:dyDescent="0.2">
      <c r="B93" s="126"/>
      <c r="C93" s="6"/>
      <c r="D93" s="6"/>
      <c r="E93" s="6"/>
      <c r="F93" s="6"/>
      <c r="G93" s="6"/>
      <c r="H93" s="6"/>
      <c r="I93" s="148"/>
      <c r="J93" s="152"/>
      <c r="K93" s="130">
        <f t="shared" si="40"/>
        <v>0</v>
      </c>
      <c r="L93" s="6"/>
      <c r="M93" s="123">
        <f>SUM(N93:S93)</f>
        <v>0</v>
      </c>
      <c r="N93" s="6"/>
      <c r="O93" s="6"/>
      <c r="P93" s="123">
        <f t="shared" si="41"/>
        <v>0</v>
      </c>
      <c r="Q93" s="6"/>
      <c r="R93" s="123">
        <f t="shared" si="42"/>
        <v>0</v>
      </c>
      <c r="S93" s="6"/>
    </row>
    <row r="94" spans="1:20" x14ac:dyDescent="0.2">
      <c r="B94" s="126"/>
      <c r="C94" s="141"/>
      <c r="D94" s="148"/>
      <c r="E94" s="6"/>
      <c r="F94" s="127"/>
      <c r="G94" s="132"/>
      <c r="H94" s="148"/>
      <c r="I94" s="148"/>
      <c r="J94" s="152"/>
      <c r="K94" s="130">
        <f t="shared" si="0"/>
        <v>0</v>
      </c>
      <c r="L94" s="37"/>
      <c r="M94" s="123">
        <f t="shared" si="1"/>
        <v>0</v>
      </c>
      <c r="N94" s="6"/>
      <c r="O94" s="6"/>
      <c r="P94" s="123">
        <f t="shared" si="41"/>
        <v>0</v>
      </c>
      <c r="Q94" s="6"/>
      <c r="R94" s="123">
        <f t="shared" si="42"/>
        <v>0</v>
      </c>
      <c r="S94" s="6"/>
    </row>
    <row r="95" spans="1:20" x14ac:dyDescent="0.2">
      <c r="A95" t="s">
        <v>596</v>
      </c>
      <c r="B95" s="148"/>
      <c r="C95" s="6"/>
      <c r="D95" s="6"/>
      <c r="E95" s="6"/>
      <c r="F95" s="153"/>
      <c r="G95" s="132"/>
      <c r="H95" s="6"/>
      <c r="I95" s="148"/>
      <c r="J95" s="152"/>
      <c r="K95" s="33">
        <f>H95+I95+J95+M95</f>
        <v>0</v>
      </c>
      <c r="L95" s="37"/>
      <c r="M95" s="123">
        <f t="shared" si="1"/>
        <v>0</v>
      </c>
      <c r="N95" s="6"/>
      <c r="O95" s="6"/>
      <c r="P95" s="123">
        <f t="shared" si="41"/>
        <v>0</v>
      </c>
      <c r="Q95" s="6"/>
      <c r="R95" s="123">
        <f t="shared" si="2"/>
        <v>0</v>
      </c>
      <c r="S95" s="6"/>
    </row>
    <row r="96" spans="1:20" x14ac:dyDescent="0.2">
      <c r="A96" t="s">
        <v>599</v>
      </c>
      <c r="B96" s="7" t="s">
        <v>579</v>
      </c>
      <c r="H96" s="118">
        <f>SUM(H29:H94)</f>
        <v>47.52</v>
      </c>
      <c r="I96" s="118">
        <f>SUM(I29:I94)</f>
        <v>8745.43</v>
      </c>
      <c r="J96" s="119">
        <f>SUM(J29:J95)</f>
        <v>67358.8</v>
      </c>
      <c r="K96" s="119">
        <f>SUM(K29:K95)+0.01</f>
        <v>94130.741900000008</v>
      </c>
      <c r="L96" s="117">
        <f>SUM(L29:L94)</f>
        <v>0</v>
      </c>
      <c r="M96" s="119">
        <f>SUM(M29:M95)+0.01</f>
        <v>17978.991899999997</v>
      </c>
      <c r="N96" s="119">
        <f>SUM(N29:N94)</f>
        <v>2.3760000000000003</v>
      </c>
      <c r="O96" s="119">
        <f>SUM(O29:O94)</f>
        <v>0</v>
      </c>
      <c r="P96" s="119">
        <f>SUM(P29:P94)</f>
        <v>1136.9059</v>
      </c>
      <c r="Q96" s="119">
        <f>SUM(Q29:Q94)</f>
        <v>0</v>
      </c>
      <c r="R96" s="119">
        <f>SUM(R29:R95)+0.01</f>
        <v>16839.71</v>
      </c>
      <c r="S96" s="119">
        <f>SUM(S29:S94)</f>
        <v>0</v>
      </c>
    </row>
    <row r="103" spans="1:18" x14ac:dyDescent="0.2">
      <c r="A103" s="144"/>
      <c r="R103">
        <v>0</v>
      </c>
    </row>
    <row r="111" spans="1:18" x14ac:dyDescent="0.2">
      <c r="C111" s="133"/>
    </row>
  </sheetData>
  <mergeCells count="37">
    <mergeCell ref="Q3:R3"/>
    <mergeCell ref="O16:R16"/>
    <mergeCell ref="G15:K16"/>
    <mergeCell ref="N19:S20"/>
    <mergeCell ref="N21:O22"/>
    <mergeCell ref="P21:Q22"/>
    <mergeCell ref="R21:S22"/>
    <mergeCell ref="E19:M20"/>
    <mergeCell ref="C10:F10"/>
    <mergeCell ref="C11:F12"/>
    <mergeCell ref="C13:F13"/>
    <mergeCell ref="C9:F9"/>
    <mergeCell ref="L15:L16"/>
    <mergeCell ref="S23:S27"/>
    <mergeCell ref="G21:G27"/>
    <mergeCell ref="H21:J25"/>
    <mergeCell ref="K21:K27"/>
    <mergeCell ref="M21:M27"/>
    <mergeCell ref="H26:H27"/>
    <mergeCell ref="J26:J27"/>
    <mergeCell ref="I26:I27"/>
    <mergeCell ref="N23:N27"/>
    <mergeCell ref="O23:O27"/>
    <mergeCell ref="P23:P27"/>
    <mergeCell ref="Q23:Q27"/>
    <mergeCell ref="R23:R27"/>
    <mergeCell ref="A1:F2"/>
    <mergeCell ref="C3:F3"/>
    <mergeCell ref="C4:F5"/>
    <mergeCell ref="C6:F6"/>
    <mergeCell ref="C7:F8"/>
    <mergeCell ref="E28:F28"/>
    <mergeCell ref="B19:B27"/>
    <mergeCell ref="C19:D20"/>
    <mergeCell ref="C21:C27"/>
    <mergeCell ref="D21:D27"/>
    <mergeCell ref="E21:F27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="55" zoomScaleNormal="55" workbookViewId="0">
      <selection activeCell="G41" sqref="G41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1.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54" t="str">
        <f>NASLOV!B5</f>
        <v>Markus Renz</v>
      </c>
      <c r="B1" s="254"/>
      <c r="C1" s="254"/>
      <c r="D1" s="254"/>
      <c r="E1" s="254"/>
      <c r="F1" s="254"/>
    </row>
    <row r="2" spans="1:18" x14ac:dyDescent="0.2">
      <c r="A2" s="254"/>
      <c r="B2" s="254"/>
      <c r="C2" s="254"/>
      <c r="D2" s="254"/>
      <c r="E2" s="254"/>
      <c r="F2" s="254"/>
    </row>
    <row r="3" spans="1:18" x14ac:dyDescent="0.2">
      <c r="C3" s="252" t="str">
        <f>INDEX(PRIJEVODI!B:D,MATCH("URA75-001",PRIJEVODI!A:A,0),MATCH(NASLOV!$B$2,PRIJEVODI!$B$1:$D$1,0))</f>
        <v>STEUERPFLICHTIGER: NAME / NACHNAME</v>
      </c>
      <c r="D3" s="252"/>
      <c r="E3" s="252"/>
      <c r="F3" s="252"/>
      <c r="Q3" s="257"/>
      <c r="R3" s="257"/>
    </row>
    <row r="4" spans="1:18" x14ac:dyDescent="0.2">
      <c r="C4" s="253" t="str">
        <f>NASLOV!B7</f>
        <v>Am Sonnblick 6, Lichtenau</v>
      </c>
      <c r="D4" s="253"/>
      <c r="E4" s="253"/>
      <c r="F4" s="253"/>
    </row>
    <row r="5" spans="1:18" x14ac:dyDescent="0.2">
      <c r="C5" s="253"/>
      <c r="D5" s="253"/>
      <c r="E5" s="253"/>
      <c r="F5" s="253"/>
    </row>
    <row r="6" spans="1:18" x14ac:dyDescent="0.2">
      <c r="C6" s="252" t="str">
        <f>INDEX(PRIJEVODI!B:D,MATCH("URA75-002",PRIJEVODI!A:A,0),MATCH(NASLOV!$B$2,PRIJEVODI!$B$1:$D$1,0))</f>
        <v>ADRESSE: ORT, STRASSE UND HAUSNUMMER</v>
      </c>
      <c r="D6" s="252"/>
      <c r="E6" s="252"/>
      <c r="F6" s="252"/>
    </row>
    <row r="7" spans="1:18" x14ac:dyDescent="0.2">
      <c r="C7" s="255"/>
      <c r="D7" s="255"/>
      <c r="E7" s="255"/>
      <c r="F7" s="255"/>
    </row>
    <row r="8" spans="1:18" x14ac:dyDescent="0.2">
      <c r="C8" s="255"/>
      <c r="D8" s="255"/>
      <c r="E8" s="255"/>
      <c r="F8" s="255"/>
    </row>
    <row r="9" spans="1:18" x14ac:dyDescent="0.2">
      <c r="C9" s="252" t="str">
        <f>INDEX(PRIJEVODI!B:D,MATCH("URA75-003",PRIJEVODI!A:A,0),MATCH(NASLOV!$B$2,PRIJEVODI!$B$1:$D$1,0))</f>
        <v xml:space="preserve">NUMMERIERUNG GEMÄSS DEM NATIONALEN KLASSIFIZIERUNGSSYSTEM  </v>
      </c>
      <c r="D9" s="252"/>
      <c r="E9" s="252"/>
      <c r="F9" s="252"/>
    </row>
    <row r="10" spans="1:18" x14ac:dyDescent="0.2">
      <c r="C10" s="252"/>
      <c r="D10" s="252"/>
      <c r="E10" s="252"/>
      <c r="F10" s="252"/>
    </row>
    <row r="11" spans="1:18" x14ac:dyDescent="0.2">
      <c r="C11" s="253" t="str">
        <f>NASLOV!B9</f>
        <v>HR6411581446</v>
      </c>
      <c r="D11" s="253"/>
      <c r="E11" s="253"/>
      <c r="F11" s="253"/>
    </row>
    <row r="12" spans="1:18" x14ac:dyDescent="0.2">
      <c r="C12" s="253"/>
      <c r="D12" s="253"/>
      <c r="E12" s="253"/>
      <c r="F12" s="253"/>
    </row>
    <row r="13" spans="1:18" x14ac:dyDescent="0.2">
      <c r="C13" s="252" t="str">
        <f>INDEX(PRIJEVODI!B:D,MATCH("URA75-004",PRIJEVODI!A:A,0),MATCH(NASLOV!$B$2,PRIJEVODI!$B$1:$D$1,0))</f>
        <v>STEUERNUMMER (UID)</v>
      </c>
      <c r="D13" s="252"/>
      <c r="E13" s="252"/>
      <c r="F13" s="252"/>
    </row>
    <row r="15" spans="1:18" x14ac:dyDescent="0.2">
      <c r="G15" s="256" t="s">
        <v>576</v>
      </c>
      <c r="H15" s="257"/>
      <c r="I15" s="257"/>
      <c r="J15" s="257"/>
      <c r="K15" s="257"/>
      <c r="L15" s="251"/>
    </row>
    <row r="16" spans="1:18" x14ac:dyDescent="0.2">
      <c r="G16" s="257"/>
      <c r="H16" s="257"/>
      <c r="I16" s="257"/>
      <c r="J16" s="257"/>
      <c r="K16" s="257"/>
      <c r="L16" s="251"/>
      <c r="O16" s="257" t="str">
        <f>INDEX(PRIJEVODI!B:D,MATCH("URA75-006",PRIJEVODI!A:A,0),MATCH(NASLOV!$B$2,PRIJEVODI!$B$1:$D$1,0))</f>
        <v>BETRAG IN KUNA UND LIPA</v>
      </c>
      <c r="P16" s="257"/>
      <c r="Q16" s="257"/>
      <c r="R16" s="257"/>
    </row>
    <row r="19" spans="2:19" ht="12.75" customHeight="1" x14ac:dyDescent="0.2">
      <c r="B19" s="226" t="str">
        <f>INDEX(PRIJEVODI!B:D,MATCH("URA75-007",PRIJEVODI!A:A,0),MATCH(NASLOV!$B$2,PRIJEVODI!$B$1:$D$1,0))</f>
        <v xml:space="preserve">ORDNUNGSNUMMER </v>
      </c>
      <c r="C19" s="229" t="str">
        <f>INDEX(PRIJEVODI!B:D,MATCH("URA75-008",PRIJEVODI!A:A,0),MATCH(NASLOV!$B$2,PRIJEVODI!$B$1:$D$1,0))</f>
        <v>RECHNUNG</v>
      </c>
      <c r="D19" s="230"/>
      <c r="E19" s="275" t="str">
        <f>INDEX(PRIJEVODI!B:D,MATCH("URA75-011",PRIJEVODI!A:A,0),MATCH(NASLOV!$B$2,PRIJEVODI!$B$1:$D$1,0))</f>
        <v>LIEFERANT (ANBIETER VON WAREN UND DIENSTLEISTUNGEN)</v>
      </c>
      <c r="F19" s="276"/>
      <c r="G19" s="276"/>
      <c r="H19" s="276"/>
      <c r="I19" s="276"/>
      <c r="J19" s="276"/>
      <c r="K19" s="276"/>
      <c r="L19" s="276"/>
      <c r="M19" s="273"/>
      <c r="N19" s="229" t="str">
        <f>INDEX(PRIJEVODI!B:D,MATCH("URA75-020",PRIJEVODI!A:A,0),MATCH(NASLOV!$B$2,PRIJEVODI!$B$1:$D$1,0))</f>
        <v>STEUER</v>
      </c>
      <c r="O19" s="260"/>
      <c r="P19" s="260"/>
      <c r="Q19" s="260"/>
      <c r="R19" s="260"/>
      <c r="S19" s="266"/>
    </row>
    <row r="20" spans="2:19" x14ac:dyDescent="0.2">
      <c r="B20" s="227"/>
      <c r="C20" s="231"/>
      <c r="D20" s="232"/>
      <c r="E20" s="269"/>
      <c r="F20" s="277"/>
      <c r="G20" s="277"/>
      <c r="H20" s="277"/>
      <c r="I20" s="277"/>
      <c r="J20" s="277"/>
      <c r="K20" s="277"/>
      <c r="L20" s="277"/>
      <c r="M20" s="278"/>
      <c r="N20" s="262"/>
      <c r="O20" s="263"/>
      <c r="P20" s="263"/>
      <c r="Q20" s="263"/>
      <c r="R20" s="263"/>
      <c r="S20" s="264"/>
    </row>
    <row r="21" spans="2:19" ht="12.75" customHeight="1" x14ac:dyDescent="0.2">
      <c r="B21" s="227"/>
      <c r="C21" s="239" t="str">
        <f>INDEX(PRIJEVODI!B:D,MATCH("URA75-009",PRIJEVODI!A:A,0),MATCH(NASLOV!$B$2,PRIJEVODI!$B$1:$D$1,0))</f>
        <v xml:space="preserve">NUMMER </v>
      </c>
      <c r="D21" s="239" t="str">
        <f>INDEX(PRIJEVODI!B:D,MATCH("URA75-010",PRIJEVODI!A:A,0),MATCH(NASLOV!$B$2,PRIJEVODI!$B$1:$D$1,0))</f>
        <v>DATUM</v>
      </c>
      <c r="E21" s="242" t="str">
        <f>INDEX(PRIJEVODI!B:D,MATCH("URA75-012",PRIJEVODI!A:A,0),MATCH(NASLOV!$B$2,PRIJEVODI!$B$1:$D$1,0))</f>
        <v>TITEL - NAME UND NACHNAME, GESCHÄFTSSITZ / SITZORT</v>
      </c>
      <c r="F21" s="243"/>
      <c r="G21" s="248" t="str">
        <f>INDEX(PRIJEVODI!B:D,MATCH("URA75-013",PRIJEVODI!A:A,0),MATCH(NASLOV!$B$2,PRIJEVODI!$B$1:$D$1,0))</f>
        <v>STEUERNUMMER (UID)</v>
      </c>
      <c r="H21" s="267" t="str">
        <f>INDEX(PRIJEVODI!B:D,MATCH("URA75-014",PRIJEVODI!A:A,0),MATCH(NASLOV!$B$2,PRIJEVODI!$B$1:$D$1,0))</f>
        <v>LIEFERWERT</v>
      </c>
      <c r="I21" s="276"/>
      <c r="J21" s="273"/>
      <c r="K21" s="248" t="str">
        <f>INDEX(PRIJEVODI!B:D,MATCH("URA75-018",PRIJEVODI!A:A,0),MATCH(NASLOV!$B$2,PRIJEVODI!$B$1:$D$1,0))</f>
        <v>GESAMTBETRAG DER RECHNUNG INKLUSIVE MwST.</v>
      </c>
      <c r="L21" s="79"/>
      <c r="M21" s="239" t="str">
        <f>INDEX(PRIJEVODI!B:D,MATCH("URA75-030",PRIJEVODI!A:A,0),MATCH(NASLOV!$B$2,PRIJEVODI!$B$1:$D$1,0))</f>
        <v>TOTAL</v>
      </c>
      <c r="N21" s="265">
        <v>0.05</v>
      </c>
      <c r="O21" s="266"/>
      <c r="P21" s="265">
        <v>0.13</v>
      </c>
      <c r="Q21" s="266"/>
      <c r="R21" s="265">
        <v>0.25</v>
      </c>
      <c r="S21" s="266"/>
    </row>
    <row r="22" spans="2:19" x14ac:dyDescent="0.2">
      <c r="B22" s="227"/>
      <c r="C22" s="240"/>
      <c r="D22" s="240"/>
      <c r="E22" s="244"/>
      <c r="F22" s="245"/>
      <c r="G22" s="249"/>
      <c r="H22" s="268"/>
      <c r="I22" s="279"/>
      <c r="J22" s="280"/>
      <c r="K22" s="249"/>
      <c r="L22" s="80"/>
      <c r="M22" s="240"/>
      <c r="N22" s="262"/>
      <c r="O22" s="264"/>
      <c r="P22" s="262"/>
      <c r="Q22" s="264"/>
      <c r="R22" s="262"/>
      <c r="S22" s="264"/>
    </row>
    <row r="23" spans="2:19" x14ac:dyDescent="0.2">
      <c r="B23" s="227"/>
      <c r="C23" s="240"/>
      <c r="D23" s="240"/>
      <c r="E23" s="244"/>
      <c r="F23" s="245"/>
      <c r="G23" s="249"/>
      <c r="H23" s="268"/>
      <c r="I23" s="279"/>
      <c r="J23" s="280"/>
      <c r="K23" s="249"/>
      <c r="L23" s="80"/>
      <c r="M23" s="240"/>
      <c r="N23" s="248" t="str">
        <f>INDEX(PRIJEVODI!B:D,MATCH("URA75-022",PRIJEVODI!A:A,0),MATCH(NASLOV!$B$2,PRIJEVODI!$B$1:$D$1,0))</f>
        <v>ABZUGSFÄHIG</v>
      </c>
      <c r="O23" s="248" t="str">
        <f>INDEX(PRIJEVODI!B:D,MATCH("URA75-023",PRIJEVODI!A:A,0),MATCH(NASLOV!$B$2,PRIJEVODI!$B$1:$D$1,0))</f>
        <v>NICHT ABZUGSFÄHIG</v>
      </c>
      <c r="P23" s="248" t="str">
        <f>INDEX(PRIJEVODI!B:D,MATCH("URA75-025",PRIJEVODI!A:A,0),MATCH(NASLOV!$B$2,PRIJEVODI!$B$1:$D$1,0))</f>
        <v>ABZUGSFÄHIG</v>
      </c>
      <c r="Q23" s="248" t="str">
        <f>INDEX(PRIJEVODI!B:D,MATCH("URA75-026",PRIJEVODI!A:A,0),MATCH(NASLOV!$B$2,PRIJEVODI!$B$1:$D$1,0))</f>
        <v>NICHT ABZUGSFÄHIG</v>
      </c>
      <c r="R23" s="248" t="str">
        <f>INDEX(PRIJEVODI!B:D,MATCH("URA75-028",PRIJEVODI!A:A,0),MATCH(NASLOV!$B$2,PRIJEVODI!$B$1:$D$1,0))</f>
        <v>ABZUGSFÄHIG</v>
      </c>
      <c r="S23" s="248" t="str">
        <f>INDEX(PRIJEVODI!B:D,MATCH("URA75-029",PRIJEVODI!A:A,0),MATCH(NASLOV!$B$2,PRIJEVODI!$B$1:$D$1,0))</f>
        <v>NICHT ABZUGSFÄHIG</v>
      </c>
    </row>
    <row r="24" spans="2:19" x14ac:dyDescent="0.2">
      <c r="B24" s="227"/>
      <c r="C24" s="240"/>
      <c r="D24" s="240"/>
      <c r="E24" s="244"/>
      <c r="F24" s="245"/>
      <c r="G24" s="249"/>
      <c r="H24" s="268"/>
      <c r="I24" s="279"/>
      <c r="J24" s="280"/>
      <c r="K24" s="249"/>
      <c r="L24" s="78" t="str">
        <f>INDEX(PRIJEVODI!B:D,MATCH("URA75-019",PRIJEVODI!A:A,0),MATCH(NASLOV!$B$2,PRIJEVODI!$B$1:$D$1,0))</f>
        <v>STEUERBEFREIUNGEN / ABZUGSFÄHIG</v>
      </c>
      <c r="M24" s="240"/>
      <c r="N24" s="249"/>
      <c r="O24" s="249"/>
      <c r="P24" s="249"/>
      <c r="Q24" s="249"/>
      <c r="R24" s="249"/>
      <c r="S24" s="249"/>
    </row>
    <row r="25" spans="2:19" x14ac:dyDescent="0.2">
      <c r="B25" s="227"/>
      <c r="C25" s="240"/>
      <c r="D25" s="240"/>
      <c r="E25" s="244"/>
      <c r="F25" s="245"/>
      <c r="G25" s="249"/>
      <c r="H25" s="269"/>
      <c r="I25" s="277"/>
      <c r="J25" s="278"/>
      <c r="K25" s="249"/>
      <c r="L25" s="80"/>
      <c r="M25" s="240"/>
      <c r="N25" s="249"/>
      <c r="O25" s="249"/>
      <c r="P25" s="249"/>
      <c r="Q25" s="249"/>
      <c r="R25" s="249"/>
      <c r="S25" s="249"/>
    </row>
    <row r="26" spans="2:19" x14ac:dyDescent="0.2">
      <c r="B26" s="227"/>
      <c r="C26" s="240"/>
      <c r="D26" s="240"/>
      <c r="E26" s="244"/>
      <c r="F26" s="245"/>
      <c r="G26" s="249"/>
      <c r="H26" s="274">
        <v>0.05</v>
      </c>
      <c r="I26" s="274">
        <v>0.1</v>
      </c>
      <c r="J26" s="274">
        <v>0.25</v>
      </c>
      <c r="K26" s="249"/>
      <c r="L26" s="80"/>
      <c r="M26" s="240"/>
      <c r="N26" s="249"/>
      <c r="O26" s="249"/>
      <c r="P26" s="249"/>
      <c r="Q26" s="249"/>
      <c r="R26" s="249"/>
      <c r="S26" s="249"/>
    </row>
    <row r="27" spans="2:19" x14ac:dyDescent="0.2">
      <c r="B27" s="228"/>
      <c r="C27" s="241"/>
      <c r="D27" s="241"/>
      <c r="E27" s="246"/>
      <c r="F27" s="247"/>
      <c r="G27" s="250"/>
      <c r="H27" s="241"/>
      <c r="I27" s="241"/>
      <c r="J27" s="241"/>
      <c r="K27" s="250"/>
      <c r="L27" s="81"/>
      <c r="M27" s="241"/>
      <c r="N27" s="250"/>
      <c r="O27" s="250"/>
      <c r="P27" s="250"/>
      <c r="Q27" s="250"/>
      <c r="R27" s="250"/>
      <c r="S27" s="250"/>
    </row>
    <row r="28" spans="2:19" x14ac:dyDescent="0.2">
      <c r="B28" s="77">
        <v>1</v>
      </c>
      <c r="C28" s="77">
        <v>2</v>
      </c>
      <c r="D28" s="77">
        <v>3</v>
      </c>
      <c r="E28" s="267">
        <v>4</v>
      </c>
      <c r="F28" s="273"/>
      <c r="G28" s="77">
        <v>5</v>
      </c>
      <c r="H28" s="77">
        <v>6</v>
      </c>
      <c r="I28" s="77">
        <v>7</v>
      </c>
      <c r="J28" s="3">
        <v>8</v>
      </c>
      <c r="K28" s="77">
        <v>9</v>
      </c>
      <c r="L28" s="77"/>
      <c r="M28" s="85" t="s">
        <v>0</v>
      </c>
      <c r="N28" s="85">
        <v>11</v>
      </c>
      <c r="O28" s="87">
        <v>12</v>
      </c>
      <c r="P28" s="85">
        <v>13</v>
      </c>
      <c r="Q28" s="87">
        <v>14</v>
      </c>
      <c r="R28" s="85">
        <v>15</v>
      </c>
      <c r="S28" s="87">
        <v>16</v>
      </c>
    </row>
    <row r="29" spans="2:19" x14ac:dyDescent="0.2">
      <c r="B29" s="95"/>
      <c r="C29" s="90"/>
      <c r="D29" s="91"/>
      <c r="E29" s="92"/>
      <c r="F29" s="96"/>
      <c r="G29" s="92"/>
      <c r="H29" s="99"/>
      <c r="I29" s="99"/>
      <c r="J29" s="96"/>
      <c r="K29" s="100"/>
      <c r="L29" s="94"/>
      <c r="M29" s="101"/>
      <c r="N29" s="97"/>
      <c r="O29" s="97"/>
      <c r="P29" s="96"/>
      <c r="Q29" s="96"/>
      <c r="R29" s="98"/>
      <c r="S29" s="97"/>
    </row>
    <row r="30" spans="2:19" x14ac:dyDescent="0.2">
      <c r="B30" s="95"/>
      <c r="C30" s="90"/>
      <c r="D30" s="91"/>
      <c r="E30" s="92"/>
      <c r="F30" s="96"/>
      <c r="G30" s="92"/>
      <c r="H30" s="99"/>
      <c r="I30" s="99"/>
      <c r="J30" s="96"/>
      <c r="K30" s="100"/>
      <c r="L30" s="94"/>
      <c r="M30" s="101"/>
      <c r="N30" s="96"/>
      <c r="O30" s="96"/>
      <c r="P30" s="96"/>
      <c r="Q30" s="96"/>
      <c r="R30" s="98"/>
      <c r="S30" s="96"/>
    </row>
    <row r="31" spans="2:19" x14ac:dyDescent="0.2">
      <c r="B31" s="95"/>
      <c r="C31" s="90"/>
      <c r="D31" s="91"/>
      <c r="E31" s="92"/>
      <c r="F31" s="96"/>
      <c r="G31" s="92"/>
      <c r="H31" s="99"/>
      <c r="I31" s="99"/>
      <c r="J31" s="96"/>
      <c r="K31" s="100"/>
      <c r="L31" s="94"/>
      <c r="M31" s="101"/>
      <c r="N31" s="96"/>
      <c r="O31" s="96"/>
      <c r="P31" s="96"/>
      <c r="Q31" s="96"/>
      <c r="R31" s="98"/>
      <c r="S31" s="96"/>
    </row>
    <row r="32" spans="2:19" x14ac:dyDescent="0.2">
      <c r="B32" s="95"/>
      <c r="C32" s="90"/>
      <c r="D32" s="91"/>
      <c r="E32" s="92"/>
      <c r="F32" s="96"/>
      <c r="G32" s="92"/>
      <c r="H32" s="99"/>
      <c r="I32" s="99"/>
      <c r="J32" s="96"/>
      <c r="K32" s="100"/>
      <c r="L32" s="94"/>
      <c r="M32" s="101"/>
      <c r="N32" s="96"/>
      <c r="O32" s="96"/>
      <c r="P32" s="96"/>
      <c r="Q32" s="96"/>
      <c r="R32" s="98"/>
      <c r="S32" s="96"/>
    </row>
    <row r="33" spans="2:19" x14ac:dyDescent="0.2">
      <c r="B33" s="95"/>
      <c r="C33" s="90"/>
      <c r="D33" s="91"/>
      <c r="E33" s="92"/>
      <c r="F33" s="96"/>
      <c r="G33" s="92"/>
      <c r="H33" s="99"/>
      <c r="I33" s="99"/>
      <c r="J33" s="96"/>
      <c r="K33" s="100"/>
      <c r="L33" s="94"/>
      <c r="M33" s="101"/>
      <c r="N33" s="96"/>
      <c r="O33" s="96"/>
      <c r="P33" s="96"/>
      <c r="Q33" s="96"/>
      <c r="R33" s="98"/>
      <c r="S33" s="96"/>
    </row>
    <row r="34" spans="2:19" x14ac:dyDescent="0.2">
      <c r="B34" s="95"/>
      <c r="C34" s="90"/>
      <c r="D34" s="91"/>
      <c r="E34" s="92"/>
      <c r="F34" s="96"/>
      <c r="G34" s="92"/>
      <c r="H34" s="99"/>
      <c r="I34" s="99"/>
      <c r="J34" s="96"/>
      <c r="K34" s="100"/>
      <c r="L34" s="94"/>
      <c r="M34" s="101"/>
      <c r="N34" s="96"/>
      <c r="O34" s="96"/>
      <c r="P34" s="96"/>
      <c r="Q34" s="96"/>
      <c r="R34" s="98"/>
      <c r="S34" s="96"/>
    </row>
    <row r="35" spans="2:19" x14ac:dyDescent="0.2">
      <c r="B35" s="95"/>
      <c r="C35" s="90"/>
      <c r="D35" s="91"/>
      <c r="E35" s="92"/>
      <c r="F35" s="96"/>
      <c r="G35" s="92"/>
      <c r="H35" s="99"/>
      <c r="I35" s="99"/>
      <c r="J35" s="96"/>
      <c r="K35" s="100"/>
      <c r="L35" s="94"/>
      <c r="M35" s="101"/>
      <c r="N35" s="96"/>
      <c r="O35" s="96"/>
      <c r="P35" s="96"/>
      <c r="Q35" s="96"/>
      <c r="R35" s="98"/>
      <c r="S35" s="96"/>
    </row>
    <row r="36" spans="2:19" x14ac:dyDescent="0.2">
      <c r="B36" s="95"/>
      <c r="C36" s="90"/>
      <c r="D36" s="91"/>
      <c r="E36" s="92"/>
      <c r="F36" s="96"/>
      <c r="G36" s="92"/>
      <c r="H36" s="99"/>
      <c r="I36" s="99"/>
      <c r="J36" s="96"/>
      <c r="K36" s="100"/>
      <c r="L36" s="94"/>
      <c r="M36" s="101"/>
      <c r="N36" s="96"/>
      <c r="O36" s="96"/>
      <c r="P36" s="96"/>
      <c r="Q36" s="96"/>
      <c r="R36" s="98"/>
      <c r="S36" s="96"/>
    </row>
    <row r="37" spans="2:19" x14ac:dyDescent="0.2">
      <c r="K37" s="39">
        <f>SUM(K29:K36)</f>
        <v>0</v>
      </c>
    </row>
  </sheetData>
  <mergeCells count="37">
    <mergeCell ref="E28:F28"/>
    <mergeCell ref="L15:L16"/>
    <mergeCell ref="P23:P27"/>
    <mergeCell ref="Q23:Q27"/>
    <mergeCell ref="R23:R27"/>
    <mergeCell ref="P21:Q22"/>
    <mergeCell ref="R21:S22"/>
    <mergeCell ref="N23:N27"/>
    <mergeCell ref="O23:O27"/>
    <mergeCell ref="O16:R16"/>
    <mergeCell ref="G15:K16"/>
    <mergeCell ref="S23:S27"/>
    <mergeCell ref="H26:H27"/>
    <mergeCell ref="I26:I27"/>
    <mergeCell ref="J26:J27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M21:M27"/>
    <mergeCell ref="N21:O22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73"/>
  <sheetViews>
    <sheetView view="pageBreakPreview" topLeftCell="A31" zoomScale="70" zoomScaleNormal="100" zoomScaleSheetLayoutView="70" workbookViewId="0">
      <selection activeCell="D15" sqref="D15"/>
    </sheetView>
  </sheetViews>
  <sheetFormatPr baseColWidth="10" defaultColWidth="9" defaultRowHeight="12.75" x14ac:dyDescent="0.2"/>
  <cols>
    <col min="1" max="1" width="12" customWidth="1"/>
    <col min="2" max="2" width="72.5" customWidth="1"/>
    <col min="3" max="3" width="21.875" customWidth="1"/>
    <col min="4" max="4" width="22.875" customWidth="1"/>
    <col min="5" max="5" width="21.375" customWidth="1"/>
    <col min="6" max="6" width="10.375" bestFit="1" customWidth="1"/>
  </cols>
  <sheetData>
    <row r="2" spans="2:4" x14ac:dyDescent="0.2">
      <c r="D2" s="1" t="str">
        <f>INDEX(PRIJEVODI!B:D,MATCH("PDV-001",PRIJEVODI!A:A,0),MATCH(NASLOV!$B$2,PRIJEVODI!$B$1:$D$1,0))</f>
        <v>UVA Formular</v>
      </c>
    </row>
    <row r="3" spans="2:4" x14ac:dyDescent="0.2">
      <c r="D3" s="43"/>
    </row>
    <row r="4" spans="2:4" ht="13.5" thickBot="1" x14ac:dyDescent="0.25"/>
    <row r="5" spans="2:4" x14ac:dyDescent="0.2">
      <c r="B5" s="288" t="str">
        <f>INDEX(PRIJEVODI!B:D,MATCH("PDV-002",PRIJEVODI!A:A,0),MATCH(NASLOV!$B$2,PRIJEVODI!$B$1:$D$1,0))</f>
        <v>STEUERPFLICHTIGER (VOR- /NACHNAME UND ADRESSE: Ort, Strasse und Hausnummer)</v>
      </c>
      <c r="C5" s="297" t="str">
        <f>INDEX(PRIJEVODI!B:D,MATCH("PDV-003",PRIJEVODI!A:A,0),MATCH(NASLOV!$B$2,PRIJEVODI!$B$1:$D$1,0))</f>
        <v>STEUERLICHER VERTRETER
 (VOR- /NACHNAME UND ADRESSE:Ort, Strasse und Hausnummer)</v>
      </c>
      <c r="D5" s="294" t="str">
        <f>INDEX(PRIJEVODI!B:D,MATCH("PDV-004",PRIJEVODI!A:A,0),MATCH(NASLOV!$B$2,PRIJEVODI!$B$1:$D$1,0))</f>
        <v>ZUSTÄNDIGES FINANZAMT</v>
      </c>
    </row>
    <row r="6" spans="2:4" x14ac:dyDescent="0.2">
      <c r="B6" s="289"/>
      <c r="C6" s="298"/>
      <c r="D6" s="295"/>
    </row>
    <row r="7" spans="2:4" x14ac:dyDescent="0.2">
      <c r="B7" s="290"/>
      <c r="C7" s="299"/>
      <c r="D7" s="296"/>
    </row>
    <row r="8" spans="2:4" x14ac:dyDescent="0.2">
      <c r="B8" s="291" t="str">
        <f>+NASLOV!B5</f>
        <v>Markus Renz</v>
      </c>
      <c r="C8" s="300"/>
      <c r="D8" s="303" t="str">
        <f>NASLOV!B15</f>
        <v>Zagreb, Odjel za strane porezne obveznike</v>
      </c>
    </row>
    <row r="9" spans="2:4" x14ac:dyDescent="0.2">
      <c r="B9" s="292"/>
      <c r="C9" s="301"/>
      <c r="D9" s="304"/>
    </row>
    <row r="10" spans="2:4" ht="24.6" customHeight="1" x14ac:dyDescent="0.2">
      <c r="B10" s="293"/>
      <c r="C10" s="302"/>
      <c r="D10" s="285" t="str">
        <f>INDEX(PRIJEVODI!B:D,MATCH("PDV-007",PRIJEVODI!A:A,0),MATCH(NASLOV!$B$2,PRIJEVODI!$B$1:$D$1,0))</f>
        <v>UMSATZSTEUERVORANMELDUNG FÜR DEN ZEITRAUM VON 01.07. BIS 31.07.2020</v>
      </c>
    </row>
    <row r="11" spans="2:4" x14ac:dyDescent="0.2">
      <c r="B11" s="282" t="str">
        <f>INDEX(PRIJEVODI!B:D,MATCH("PDV-005",PRIJEVODI!A:A,0),MATCH(NASLOV!$B$2,PRIJEVODI!$B$1:$D$1,0))</f>
        <v>KLASSIFIKATION GEMÄSS NOMENKLATUR
(TÄTIGKEITS-KENNZIFFER)</v>
      </c>
      <c r="C11" s="248" t="str">
        <f>INDEX(PRIJEVODI!B:D,MATCH("PDV-006",PRIJEVODI!A:A,0),MATCH(NASLOV!$B$2,PRIJEVODI!$B$1:$D$1,0))</f>
        <v>STEUERNUMMER</v>
      </c>
      <c r="D11" s="286"/>
    </row>
    <row r="12" spans="2:4" x14ac:dyDescent="0.2">
      <c r="B12" s="283"/>
      <c r="C12" s="249"/>
      <c r="D12" s="286"/>
    </row>
    <row r="13" spans="2:4" x14ac:dyDescent="0.2">
      <c r="B13" s="284"/>
      <c r="C13" s="250"/>
      <c r="D13" s="286"/>
    </row>
    <row r="14" spans="2:4" ht="13.5" thickBot="1" x14ac:dyDescent="0.25">
      <c r="B14" s="63" t="str">
        <f>+NASLOV!B9</f>
        <v>HR6411581446</v>
      </c>
      <c r="C14" s="14"/>
      <c r="D14" s="287"/>
    </row>
    <row r="15" spans="2:4" ht="45" customHeight="1" thickBot="1" x14ac:dyDescent="0.25">
      <c r="B15" s="12" t="str">
        <f>INDEX(PRIJEVODI!B:D,MATCH("PDV-008",PRIJEVODI!A:A,0),MATCH(NASLOV!$B$2,PRIJEVODI!$B$1:$D$1,0))</f>
        <v>BESCHREIBUNG</v>
      </c>
      <c r="C15" s="13" t="str">
        <f>INDEX(PRIJEVODI!B:D,MATCH("PDV-009",PRIJEVODI!A:A,0),MATCH(NASLOV!$B$2,PRIJEVODI!$B$1:$D$1,0))</f>
        <v>Lieferwert
(Betrag in Kuna und Lipa)</v>
      </c>
      <c r="D15" s="66" t="str">
        <f>INDEX(PRIJEVODI!B:D,MATCH("PDV-010",PRIJEVODI!A:A,0),MATCH(NASLOV!$B$2,PRIJEVODI!$B$1:$D$1,0))</f>
        <v>Steuersatz von 5%,13%, 25% 
(Betrag in Kuna und Lipa)</v>
      </c>
    </row>
    <row r="16" spans="2:4" ht="25.5" x14ac:dyDescent="0.2">
      <c r="B16" s="15" t="str">
        <f>INDEX(PRIJEVODI!B:D,MATCH("PDV-011",PRIJEVODI!A:A,0),MATCH(NASLOV!$B$2,PRIJEVODI!$B$1:$D$1,0))</f>
        <v xml:space="preserve">STEUERABRECHNUNG DER ERBRACHTEN LIEFERUNGEN UND DIENSTLEISTUNGEN IM GEGEBENEN ZEITRAUM: INSGESAMT (I + II) </v>
      </c>
      <c r="C16" s="25">
        <f>C17+C28</f>
        <v>851.48127999999997</v>
      </c>
      <c r="D16" s="67" t="s">
        <v>6</v>
      </c>
    </row>
    <row r="17" spans="2:5" ht="25.5" x14ac:dyDescent="0.2">
      <c r="B17" s="16" t="str">
        <f>INDEX(PRIJEVODI!B:D,MATCH("PDV-012",PRIJEVODI!A:A,0),MATCH(NASLOV!$B$2,PRIJEVODI!$B$1:$D$1,0))</f>
        <v>I. NICHT STEUERBARE UND BEFREITE TRANSAKTIONEN - INSGESAMT (1+2+3+4+5+6+7+8+9+10)</v>
      </c>
      <c r="C17" s="26">
        <f>SUM(C18:C27)</f>
        <v>0</v>
      </c>
      <c r="D17" s="67" t="s">
        <v>6</v>
      </c>
    </row>
    <row r="18" spans="2:5" ht="37.5" customHeight="1" x14ac:dyDescent="0.2">
      <c r="B18" s="30" t="str">
        <f>INDEX(PRIJEVODI!B:D,MATCH("PDV-013",PRIJEVODI!A:A,0),MATCH(NASLOV!$B$2,PRIJEVODI!$B$1:$D$1,0))</f>
        <v xml:space="preserve">1.   LIEFERUNGEN NACH KROATIEN BEI DENEN DER LEISTUNGSEMFÄNGER DIE MEHRWERTSTEUER BERECHNET / INLÄNDISCHER ÜBERGANG DER STEUERSCHULD </v>
      </c>
      <c r="C18" s="29">
        <v>0</v>
      </c>
      <c r="D18" s="67" t="s">
        <v>6</v>
      </c>
    </row>
    <row r="19" spans="2:5" x14ac:dyDescent="0.2">
      <c r="B19" s="8" t="str">
        <f>INDEX(PRIJEVODI!B:D,MATCH("PDV-014",PRIJEVODI!A:A,0),MATCH(NASLOV!$B$2,PRIJEVODI!$B$1:$D$1,0))</f>
        <v>2.   LIEFERUNGEN VON GÜTERN IN ANDERE MITGLIEDSTAATEN</v>
      </c>
      <c r="C19" s="29">
        <v>0</v>
      </c>
      <c r="D19" s="67" t="s">
        <v>6</v>
      </c>
    </row>
    <row r="20" spans="2:5" x14ac:dyDescent="0.2">
      <c r="B20" s="9" t="str">
        <f>INDEX(PRIJEVODI!B:D,MATCH("PDV-015",PRIJEVODI!A:A,0),MATCH(NASLOV!$B$2,PRIJEVODI!$B$1:$D$1,0))</f>
        <v>3.   LIEFERUNGEN VON GÜTERN INNERHALB DER EU</v>
      </c>
      <c r="C20" s="29">
        <v>0</v>
      </c>
      <c r="D20" s="67" t="s">
        <v>6</v>
      </c>
      <c r="E20" s="31"/>
    </row>
    <row r="21" spans="2:5" x14ac:dyDescent="0.2">
      <c r="B21" s="9" t="str">
        <f>INDEX(PRIJEVODI!B:D,MATCH("PDV-016",PRIJEVODI!A:A,0),MATCH(NASLOV!$B$2,PRIJEVODI!$B$1:$D$1,0))</f>
        <v>4.   ERBRACHTE DIENSTLEISTUNGEN INNERHALB DER EU</v>
      </c>
      <c r="C21" s="29">
        <v>0</v>
      </c>
      <c r="D21" s="67" t="s">
        <v>6</v>
      </c>
    </row>
    <row r="22" spans="2:5" ht="26.45" customHeight="1" x14ac:dyDescent="0.2">
      <c r="B22" s="10" t="str">
        <f>INDEX(PRIJEVODI!B:D,MATCH("PDV-017",PRIJEVODI!A:A,0),MATCH(NASLOV!$B$2,PRIJEVODI!$B$1:$D$1,0))</f>
        <v xml:space="preserve">5.   ERBRACHTE DIENSTLEISTUNGEN AN PERSONEN OHNE SITZ IN KROATIEN       </v>
      </c>
      <c r="C22" s="29">
        <v>0</v>
      </c>
      <c r="D22" s="67" t="s">
        <v>6</v>
      </c>
    </row>
    <row r="23" spans="2:5" ht="27" customHeight="1" x14ac:dyDescent="0.2">
      <c r="B23" s="8" t="str">
        <f>INDEX(PRIJEVODI!B:D,MATCH("PDV-018",PRIJEVODI!A:A,0),MATCH(NASLOV!$B$2,PRIJEVODI!$B$1:$D$1,0))</f>
        <v>6.   MONTAGE UND INSTALLATION VON GÜTERN IN EINEM ANDEREN MITGLIEDSTAAT</v>
      </c>
      <c r="C23" s="29">
        <v>0</v>
      </c>
      <c r="D23" s="67" t="s">
        <v>6</v>
      </c>
    </row>
    <row r="24" spans="2:5" ht="12.75" customHeight="1" x14ac:dyDescent="0.2">
      <c r="B24" s="8" t="str">
        <f>INDEX(PRIJEVODI!B:D,MATCH("PDV-019",PRIJEVODI!A:A,0),MATCH(NASLOV!$B$2,PRIJEVODI!$B$1:$D$1,0))</f>
        <v xml:space="preserve">7.   LIEFERUNGEN VON NEUEN FAHRZEUGEN IN DIE EU </v>
      </c>
      <c r="C24" s="29">
        <v>0</v>
      </c>
      <c r="D24" s="67" t="s">
        <v>6</v>
      </c>
    </row>
    <row r="25" spans="2:5" x14ac:dyDescent="0.2">
      <c r="B25" s="9" t="str">
        <f>INDEX(PRIJEVODI!B:D,MATCH("PDV-020",PRIJEVODI!A:A,0),MATCH(NASLOV!$B$2,PRIJEVODI!$B$1:$D$1,0))</f>
        <v xml:space="preserve">8.   INLÄNDISCHE LIEFERUNGEN       </v>
      </c>
      <c r="C25" s="29">
        <v>0</v>
      </c>
      <c r="D25" s="67" t="s">
        <v>6</v>
      </c>
    </row>
    <row r="26" spans="2:5" x14ac:dyDescent="0.2">
      <c r="B26" s="9" t="str">
        <f>INDEX(PRIJEVODI!B:D,MATCH("PDV-021",PRIJEVODI!A:A,0),MATCH(NASLOV!$B$2,PRIJEVODI!$B$1:$D$1,0))</f>
        <v>9.   AUSFUHR DIENSTLEISTUNGEN</v>
      </c>
      <c r="C26" s="29">
        <v>0</v>
      </c>
      <c r="D26" s="67" t="s">
        <v>6</v>
      </c>
    </row>
    <row r="27" spans="2:5" ht="13.5" thickBot="1" x14ac:dyDescent="0.25">
      <c r="B27" s="17" t="str">
        <f>INDEX(PRIJEVODI!B:D,MATCH("PDV-022",PRIJEVODI!A:A,0),MATCH(NASLOV!$B$2,PRIJEVODI!$B$1:$D$1,0))</f>
        <v>10.   SONSTIGE BEFREIUNGEN</v>
      </c>
      <c r="C27" s="29">
        <v>0</v>
      </c>
      <c r="D27" s="68"/>
    </row>
    <row r="28" spans="2:5" ht="27" customHeight="1" x14ac:dyDescent="0.2">
      <c r="B28" s="18" t="str">
        <f>INDEX(PRIJEVODI!B:D,MATCH("PDV-023",PRIJEVODI!A:A,0),MATCH(NASLOV!$B$2,PRIJEVODI!$B$1:$D$1,0))</f>
        <v>II. STEUERBARE TRANSAKTIONEN – INSGESAMT 
(1+2+3+4+5+6+7+8+9+10+11+12+13+14+15)</v>
      </c>
      <c r="C28" s="27">
        <f>SUM(C29:C43)-0.01</f>
        <v>851.48127999999997</v>
      </c>
      <c r="D28" s="69">
        <f>SUM(D29:D43)-0.01</f>
        <v>212.86282</v>
      </c>
    </row>
    <row r="29" spans="2:5" ht="29.45" customHeight="1" x14ac:dyDescent="0.2">
      <c r="B29" s="20" t="str">
        <f>INDEX(PRIJEVODI!B:D,MATCH("PDV-024",PRIJEVODI!A:A,0),MATCH(NASLOV!$B$2,PRIJEVODI!$B$1:$D$1,0))</f>
        <v>1.   LIEFERUNGEN VON GÜTERN UND DIENSTLEISTUNGEN IN KROATIEN 
ZUM STEUERSATZ VON 5%</v>
      </c>
      <c r="C29" s="28">
        <f>'I-RA'!S47</f>
        <v>0</v>
      </c>
      <c r="D29" s="28">
        <f>'I-RA'!T47</f>
        <v>0</v>
      </c>
    </row>
    <row r="30" spans="2:5" ht="27" customHeight="1" x14ac:dyDescent="0.2">
      <c r="B30" s="20" t="str">
        <f>INDEX(PRIJEVODI!B:D,MATCH("PDV-025",PRIJEVODI!A:A,0),MATCH(NASLOV!$B$2,PRIJEVODI!$B$1:$D$1,0))</f>
        <v>2.   LIEFERUNGEN VON GÜTERN UND DIENSTLEISTUNGEN IN KROATIEN 
ZUM STEUERSATZ VON  13%</v>
      </c>
      <c r="C30" s="70">
        <f>'I-RA'!U47</f>
        <v>0</v>
      </c>
      <c r="D30" s="70">
        <f>'I-RA'!V47</f>
        <v>0</v>
      </c>
    </row>
    <row r="31" spans="2:5" ht="47.45" customHeight="1" x14ac:dyDescent="0.2">
      <c r="B31" s="20" t="str">
        <f>INDEX(PRIJEVODI!B:D,MATCH("PDV-026",PRIJEVODI!A:A,0),MATCH(NASLOV!$B$2,PRIJEVODI!$B$1:$D$1,0))</f>
        <v>3.   LIEFERUNGEN VON GÜTERN UND DIENSTLEISTUNGEN IN KROATIEN 
ZUM STEUERSATZ VON   25%</v>
      </c>
      <c r="C31" s="70">
        <v>0</v>
      </c>
      <c r="D31" s="70">
        <v>0</v>
      </c>
      <c r="E31" s="31"/>
    </row>
    <row r="32" spans="2:5" ht="37.5" customHeight="1" x14ac:dyDescent="0.2">
      <c r="B32" s="8" t="str">
        <f>INDEX(PRIJEVODI!B:D,MATCH("PDV-027",PRIJEVODI!A:A,0),MATCH(NASLOV!$B$2,PRIJEVODI!$B$1:$D$1,0))</f>
        <v xml:space="preserve">4.  EMPFANGENE LIEFERUNGEN IN KROATIEN BEI DENEN DIE MEHRWERTSTEUER DER EMFÄNGER ABRECHNET (INLÄNDISCHER ÜBERGANG DER STEUERSCHULD) </v>
      </c>
      <c r="C32" s="28">
        <v>0</v>
      </c>
      <c r="D32" s="70">
        <v>0</v>
      </c>
    </row>
    <row r="33" spans="2:8" ht="26.25" customHeight="1" x14ac:dyDescent="0.2">
      <c r="B33" s="8" t="str">
        <f>INDEX(PRIJEVODI!B:D,MATCH("PDV-028",PRIJEVODI!A:A,0),MATCH(NASLOV!$B$2,PRIJEVODI!$B$1:$D$1,0))</f>
        <v>5. ERWERB VON GÜTERN INNERHALB DER EU ZUM STEUERSATZ VON  5%</v>
      </c>
      <c r="C33" s="28">
        <v>0</v>
      </c>
      <c r="D33" s="70">
        <v>0</v>
      </c>
    </row>
    <row r="34" spans="2:8" ht="25.15" customHeight="1" x14ac:dyDescent="0.2">
      <c r="B34" s="8" t="str">
        <f>INDEX(PRIJEVODI!B:D,MATCH("PDV-029",PRIJEVODI!A:A,0),MATCH(NASLOV!$B$2,PRIJEVODI!$B$1:$D$1,0))</f>
        <v>6.  ERWERB VON GÜTERN INNERHALB DER EU ZUM STEUERSATZ VON  13%</v>
      </c>
      <c r="C34" s="28">
        <v>0</v>
      </c>
      <c r="D34" s="70">
        <v>0</v>
      </c>
    </row>
    <row r="35" spans="2:8" ht="25.15" customHeight="1" x14ac:dyDescent="0.2">
      <c r="B35" s="8" t="str">
        <f>INDEX(PRIJEVODI!B:D,MATCH("PDV-030",PRIJEVODI!A:A,0),MATCH(NASLOV!$B$2,PRIJEVODI!$B$1:$D$1,0))</f>
        <v>7.  ERWERB VON GÜTERN INNERHALB DER EU ZUM STEUERSATZ VON  25%</v>
      </c>
      <c r="C35" s="28">
        <f>C51</f>
        <v>0</v>
      </c>
      <c r="D35" s="70">
        <v>0</v>
      </c>
      <c r="E35" s="32"/>
    </row>
    <row r="36" spans="2:8" x14ac:dyDescent="0.2">
      <c r="B36" s="8" t="str">
        <f>INDEX(PRIJEVODI!B:D,MATCH("PDV-031",PRIJEVODI!A:A,0),MATCH(NASLOV!$B$2,PRIJEVODI!$B$1:$D$1,0))</f>
        <v>8.  EMPFANGENE DIENSTLEISTUNGEN AUS DER EU ZUM STEUERSATZ VON  5%</v>
      </c>
      <c r="C36" s="28">
        <v>0</v>
      </c>
      <c r="D36" s="70">
        <v>0</v>
      </c>
    </row>
    <row r="37" spans="2:8" x14ac:dyDescent="0.2">
      <c r="B37" s="8" t="str">
        <f>INDEX(PRIJEVODI!B:D,MATCH("PDV-032",PRIJEVODI!A:A,0),MATCH(NASLOV!$B$2,PRIJEVODI!$B$1:$D$1,0))</f>
        <v>9. EMPFANGENE DIENSTLEISTUNGEN AUS DER EU ZUM STEUERSATZ VON 13%</v>
      </c>
      <c r="C37" s="28">
        <v>0</v>
      </c>
      <c r="D37" s="70">
        <v>0</v>
      </c>
    </row>
    <row r="38" spans="2:8" x14ac:dyDescent="0.2">
      <c r="B38" s="8" t="str">
        <f>INDEX(PRIJEVODI!B:D,MATCH("PDV-033",PRIJEVODI!A:A,0),MATCH(NASLOV!$B$2,PRIJEVODI!$B$1:$D$1,0))</f>
        <v>10.  EMPFANGENE DIENSTLEISTUNGEN AUS DER EU ZUM STEUERSATZ VON 25%</v>
      </c>
      <c r="C38" s="28">
        <f>+C54</f>
        <v>851.49127999999996</v>
      </c>
      <c r="D38" s="70">
        <f>+C38*0.25</f>
        <v>212.87281999999999</v>
      </c>
    </row>
    <row r="39" spans="2:8" ht="25.5" x14ac:dyDescent="0.2">
      <c r="B39" s="8" t="str">
        <f>INDEX(PRIJEVODI!B:D,MATCH("PDV-034",PRIJEVODI!A:A,0),MATCH(NASLOV!$B$2,PRIJEVODI!$B$1:$D$1,0))</f>
        <v>11. EMPFANGENE LIEFERUNGEN VON GÜTERN UND DIENSTLEISTUNGEN VON STEUERPFLICHTIGEN OHNE SITZ IN KROATIEN ZUM STEUERSATZ VON 5%</v>
      </c>
      <c r="C39" s="28">
        <v>0</v>
      </c>
      <c r="D39" s="70">
        <v>0</v>
      </c>
    </row>
    <row r="40" spans="2:8" ht="37.5" customHeight="1" x14ac:dyDescent="0.2">
      <c r="B40" s="8" t="str">
        <f>INDEX(PRIJEVODI!B:D,MATCH("PDV-035",PRIJEVODI!A:A,0),MATCH(NASLOV!$B$2,PRIJEVODI!$B$1:$D$1,0))</f>
        <v>12. EMPFANGENE LIEFERUNGEN VON GÜTERN UND DIENSTLEISTUNGEN VON STEUERPFLICHTIGEN OHNE SITZ IN KROATIEN ZUM STEUERSATZ VON 13%</v>
      </c>
      <c r="C40" s="28">
        <v>0</v>
      </c>
      <c r="D40" s="70">
        <v>0</v>
      </c>
    </row>
    <row r="41" spans="2:8" ht="37.5" customHeight="1" x14ac:dyDescent="0.2">
      <c r="B41" s="8" t="str">
        <f>INDEX(PRIJEVODI!B:D,MATCH("PDV-036",PRIJEVODI!A:A,0),MATCH(NASLOV!$B$2,PRIJEVODI!$B$1:$D$1,0))</f>
        <v>13. EMPFANGENE LIEFERUNGEN VON GÜTERN UND DIENSTLEISTUNGEN VON STEUERPFLICHTIGEN OHNE SITZ IN KROATIEN ZUM STEUERSATZ VON  25%</v>
      </c>
      <c r="C41" s="28">
        <v>0</v>
      </c>
      <c r="D41" s="70">
        <v>0</v>
      </c>
    </row>
    <row r="42" spans="2:8" ht="26.25" customHeight="1" x14ac:dyDescent="0.2">
      <c r="B42" s="30" t="str">
        <f>INDEX(PRIJEVODI!B:D,MATCH("PDV-037",PRIJEVODI!A:A,0),MATCH(NASLOV!$B$2,PRIJEVODI!$B$1:$D$1,0))</f>
        <v xml:space="preserve">14. NACHTRÄ'GLICHE BEFREIUNG DER AUSFUHR IM RAHMEN DES PERSONENVERKEHRS </v>
      </c>
      <c r="C42" s="28">
        <v>0</v>
      </c>
      <c r="D42" s="70">
        <v>0</v>
      </c>
    </row>
    <row r="43" spans="2:8" ht="13.5" thickBot="1" x14ac:dyDescent="0.25">
      <c r="B43" s="11" t="str">
        <f>INDEX(PRIJEVODI!B:D,MATCH("PDV-038",PRIJEVODI!A:A,0),MATCH(NASLOV!$B$2,PRIJEVODI!$B$1:$D$1,0))</f>
        <v>15. ABGERECHNETE EINFUHRUMSATZSTEUER</v>
      </c>
      <c r="C43" s="28">
        <v>0</v>
      </c>
      <c r="D43" s="70">
        <v>0</v>
      </c>
    </row>
    <row r="44" spans="2:8" ht="33.6" customHeight="1" x14ac:dyDescent="0.2">
      <c r="B44" s="18" t="str">
        <f>INDEX(PRIJEVODI!B:D,MATCH("PDV-039",PRIJEVODI!A:A,0),MATCH(NASLOV!$B$2,PRIJEVODI!$B$1:$D$1,0))</f>
        <v xml:space="preserve">III. ABGERECHNETE VORSTEUER - INSGESAMT (1+2+3+4+ 5 + 6+7+8+9+10+11+12+13+14+15) </v>
      </c>
      <c r="C44" s="27">
        <f>SUM(C45:C59)-0.01</f>
        <v>77003.231280000007</v>
      </c>
      <c r="D44" s="69">
        <f>SUM(D45:D59)-0.01</f>
        <v>18191.854720000003</v>
      </c>
    </row>
    <row r="45" spans="2:8" ht="18" customHeight="1" x14ac:dyDescent="0.2">
      <c r="B45" s="9" t="str">
        <f>INDEX(PRIJEVODI!B:D,MATCH("PDV-040",PRIJEVODI!A:A,0),MATCH(NASLOV!$B$2,PRIJEVODI!$B$1:$D$1,0))</f>
        <v>1. VORSTEUER AUS EMPFANGENEN LIEFERUNGEN IM INLAND 
ZUM STEUERSAZ VON 5%</v>
      </c>
      <c r="C45" s="28">
        <f>+'U-RA'!H96</f>
        <v>47.52</v>
      </c>
      <c r="D45" s="71">
        <f>+'U-RA'!N96</f>
        <v>2.3760000000000003</v>
      </c>
      <c r="H45" s="39">
        <f>+D30-D46-D47</f>
        <v>-17976.615900000001</v>
      </c>
    </row>
    <row r="46" spans="2:8" ht="18" customHeight="1" x14ac:dyDescent="0.2">
      <c r="B46" s="9" t="str">
        <f>INDEX(PRIJEVODI!B:D,MATCH("PDV-041",PRIJEVODI!A:A,0),MATCH(NASLOV!$B$2,PRIJEVODI!$B$1:$D$1,0))</f>
        <v>2. VORSTEUER AUS EMPFANGENEN LIEFERUNGEN IM INLAND 
ZUM STEUERSATZ VON 13%</v>
      </c>
      <c r="C46" s="70">
        <f>+'U-RA'!I96</f>
        <v>8745.43</v>
      </c>
      <c r="D46" s="70">
        <f>+C46*0.13</f>
        <v>1136.9059</v>
      </c>
    </row>
    <row r="47" spans="2:8" ht="18" customHeight="1" x14ac:dyDescent="0.2">
      <c r="B47" s="9" t="str">
        <f>INDEX(PRIJEVODI!B:D,MATCH("PDV-042",PRIJEVODI!A:A,0),MATCH(NASLOV!$B$2,PRIJEVODI!$B$1:$D$1,0))</f>
        <v>3. VORSTEUER AUS EMPFANGENEN LIEFERUNGEN IM INLAND 
ZUM STEUERSAT*Z VON 25%</v>
      </c>
      <c r="C47" s="70">
        <f>+'U-RA'!J96</f>
        <v>67358.8</v>
      </c>
      <c r="D47" s="70">
        <f>+C47*0.25+0.01</f>
        <v>16839.71</v>
      </c>
    </row>
    <row r="48" spans="2:8" ht="41.25" customHeight="1" x14ac:dyDescent="0.2">
      <c r="B48" s="8" t="str">
        <f>INDEX(PRIJEVODI!B:D,MATCH("PDV-043",PRIJEVODI!A:A,0),MATCH(NASLOV!$B$2,PRIJEVODI!$B$1:$D$1,0))</f>
        <v xml:space="preserve">4. VORSTEUER AUS EMPFANGENEN LIEFERUNGEN IN KROATIEN BEI DENEN DIE MEHRWERTSTEUER VOM EMFÄNGER ABGERECHENT WIRD / INLÄNDISCHER ÜBERGANG DER STEUERSCHULD  </v>
      </c>
      <c r="C48" s="28">
        <v>0</v>
      </c>
      <c r="D48" s="70">
        <v>0</v>
      </c>
    </row>
    <row r="49" spans="2:6" ht="25.5" x14ac:dyDescent="0.2">
      <c r="B49" s="8" t="str">
        <f>INDEX(PRIJEVODI!B:D,MATCH("PDV-044",PRIJEVODI!A:A,0),MATCH(NASLOV!$B$2,PRIJEVODI!$B$1:$D$1,0))</f>
        <v>5. VORSTEUER AUS DEM ERWERB VON GÜTERN INNERHALB DER EU 
ZUM STEUERSATZ VON 5%</v>
      </c>
      <c r="C49" s="28">
        <v>0</v>
      </c>
      <c r="D49" s="70">
        <v>0</v>
      </c>
    </row>
    <row r="50" spans="2:6" ht="25.5" x14ac:dyDescent="0.2">
      <c r="B50" s="8" t="str">
        <f>INDEX(PRIJEVODI!B:D,MATCH("PDV-045",PRIJEVODI!A:A,0),MATCH(NASLOV!$B$2,PRIJEVODI!$B$1:$D$1,0))</f>
        <v>6. VORSTEUER AUS DEM ERWERB VON GÜTERN INNERHALB DER EU ZUM STEUERSATZ VON 13%</v>
      </c>
      <c r="C50" s="28">
        <v>0</v>
      </c>
      <c r="D50" s="70">
        <v>0</v>
      </c>
      <c r="E50" s="32"/>
    </row>
    <row r="51" spans="2:6" ht="25.5" x14ac:dyDescent="0.2">
      <c r="B51" s="8" t="str">
        <f>INDEX(PRIJEVODI!B:D,MATCH("PDV-046",PRIJEVODI!A:A,0),MATCH(NASLOV!$B$2,PRIJEVODI!$B$1:$D$1,0))</f>
        <v>7. VORSTEUER AUS DEM ERWERB VON GÜTERN INNERHALB DER EU 
ZUM STEUERSATZ VON 25%</v>
      </c>
      <c r="C51" s="28">
        <v>0</v>
      </c>
      <c r="D51" s="70">
        <v>0</v>
      </c>
      <c r="E51" s="32"/>
    </row>
    <row r="52" spans="2:6" ht="25.5" x14ac:dyDescent="0.2">
      <c r="B52" s="8" t="str">
        <f>INDEX(PRIJEVODI!B:D,MATCH("PDV-047",PRIJEVODI!A:A,0),MATCH(NASLOV!$B$2,PRIJEVODI!$B$1:$D$1,0))</f>
        <v>8. VORSTEUER AUS DEM EMPFANG VON DIENSTLEISTUNGEN AUS DER EU 
ZUM STEUERSATZ VON 5%</v>
      </c>
      <c r="C52" s="28">
        <v>0</v>
      </c>
      <c r="D52" s="70">
        <v>0</v>
      </c>
    </row>
    <row r="53" spans="2:6" ht="25.5" x14ac:dyDescent="0.2">
      <c r="B53" s="8" t="str">
        <f>INDEX(PRIJEVODI!B:D,MATCH("PDV-048",PRIJEVODI!A:A,0),MATCH(NASLOV!$B$2,PRIJEVODI!$B$1:$D$1,0))</f>
        <v>9. VORSTEUER AUS DEM EMPFANG VON DIENSTLEISTUNGEN AUS DER EU 
ZUM STEUERSATZ VON 13%</v>
      </c>
      <c r="C53" s="28">
        <v>0</v>
      </c>
      <c r="D53" s="70">
        <v>0</v>
      </c>
    </row>
    <row r="54" spans="2:6" ht="25.5" x14ac:dyDescent="0.2">
      <c r="B54" s="8" t="str">
        <f>INDEX(PRIJEVODI!B:D,MATCH("PDV-049",PRIJEVODI!A:A,0),MATCH(NASLOV!$B$2,PRIJEVODI!$B$1:$D$1,0))</f>
        <v>10. VORSTEUER AUS DEM EMPFANG VON DIENSTLEISTUNGEN AUS DER EU 
ZUM STEUERSATZ VON 25%</v>
      </c>
      <c r="C54" s="28">
        <f>+'IC Aq'!J30+'IC Aq'!J29</f>
        <v>851.49127999999996</v>
      </c>
      <c r="D54" s="70">
        <f>+'IC Aq'!R30+'IC Aq'!R29</f>
        <v>212.87281999999999</v>
      </c>
    </row>
    <row r="55" spans="2:6" ht="37.5" customHeight="1" x14ac:dyDescent="0.2">
      <c r="B55" s="8" t="str">
        <f>INDEX(PRIJEVODI!B:D,MATCH("PDV-050",PRIJEVODI!A:A,0),MATCH(NASLOV!$B$2,PRIJEVODI!$B$1:$D$1,0))</f>
        <v>11. VORSTEUER AUS EMPFANGENEN LIEFERUNGEN VON GÜTERN UND DIENSTLEISTUNGEN VON STEUERPFLICHTIGEN OHNE SITZ IN KROATIEN 
ZUM STEUERSATZ VON 5%</v>
      </c>
      <c r="C55" s="28">
        <v>0</v>
      </c>
      <c r="D55" s="70">
        <v>0</v>
      </c>
    </row>
    <row r="56" spans="2:6" ht="37.5" customHeight="1" x14ac:dyDescent="0.2">
      <c r="B56" s="8" t="str">
        <f>INDEX(PRIJEVODI!B:D,MATCH("PDV-051",PRIJEVODI!A:A,0),MATCH(NASLOV!$B$2,PRIJEVODI!$B$1:$D$1,0))</f>
        <v>12. VORSTEUER AUS EMPFANGENEN LIEFERUNGEN VON GÜTERN UND DIENSTLEISTUNGEN VON STEUERPFLICHTIGEN OHNE SITZ IN KROATIEN 
ZUM STEUERSATZ VON 13%</v>
      </c>
      <c r="C56" s="28">
        <v>0</v>
      </c>
      <c r="D56" s="70">
        <v>0</v>
      </c>
    </row>
    <row r="57" spans="2:6" ht="37.5" customHeight="1" x14ac:dyDescent="0.2">
      <c r="B57" s="8" t="str">
        <f>INDEX(PRIJEVODI!B:D,MATCH("PDV-052",PRIJEVODI!A:A,0),MATCH(NASLOV!$B$2,PRIJEVODI!$B$1:$D$1,0))</f>
        <v>13. VORSTEUER AUS EMPFANGENEN LIEFERUNGEN VON GÜTERN UND DIENSTLEISTUNGEN VON STEUERPFLICHTIGEN OHNE SITZ IN KROATIEN
 ZUM STEUERSATZ VON 25%</v>
      </c>
      <c r="C57" s="28">
        <v>0</v>
      </c>
      <c r="D57" s="70">
        <v>0</v>
      </c>
    </row>
    <row r="58" spans="2:6" x14ac:dyDescent="0.2">
      <c r="B58" s="8" t="str">
        <f>INDEX(PRIJEVODI!B:D,MATCH("PDV-053",PRIJEVODI!A:A,0),MATCH(NASLOV!$B$2,PRIJEVODI!$B$1:$D$1,0))</f>
        <v>14. VORSTEUER BEI DER EINFUHR</v>
      </c>
      <c r="C58" s="28">
        <v>0</v>
      </c>
      <c r="D58" s="70">
        <v>0</v>
      </c>
    </row>
    <row r="59" spans="2:6" ht="13.5" thickBot="1" x14ac:dyDescent="0.25">
      <c r="B59" s="11" t="str">
        <f>INDEX(PRIJEVODI!B:D,MATCH("PDV-054",PRIJEVODI!A:A,0),MATCH(NASLOV!$B$2,PRIJEVODI!$B$1:$D$1,0))</f>
        <v>15. BERICHTIGUNG VORSTEUER</v>
      </c>
      <c r="C59" s="28">
        <v>0</v>
      </c>
      <c r="D59" s="70">
        <v>0</v>
      </c>
    </row>
    <row r="60" spans="2:6" ht="26.25" customHeight="1" x14ac:dyDescent="0.2">
      <c r="B60" s="18" t="str">
        <f>INDEX(PRIJEVODI!B:D,MATCH("PDV-055",PRIJEVODI!A:A,0),MATCH(NASLOV!$B$2,PRIJEVODI!$B$1:$D$1,0))</f>
        <v xml:space="preserve">IV. VERBINDLICHKEIT FÜR DEN STEUERZEITRAUM: FÜR DIE EINZAHLUNG (II.-III.) ODER ZUR RÜCKERSTATTUNG (III.-II.) DER UMSATZSTEUER IM ABRECHNUNGSZEITRAUM             </v>
      </c>
      <c r="C60" s="19"/>
      <c r="D60" s="72">
        <f>D28-D44</f>
        <v>-17978.991900000005</v>
      </c>
    </row>
    <row r="61" spans="2:6" ht="38.25" customHeight="1" x14ac:dyDescent="0.2">
      <c r="B61" s="16" t="str">
        <f>INDEX(PRIJEVODI!B:D,MATCH("PDV-056",PRIJEVODI!A:A,0),MATCH(NASLOV!$B$2,PRIJEVODI!$B$1:$D$1,0))</f>
        <v xml:space="preserve">V. NICHT EINGEZAHLTE UMSATZSTEUER BIS ZUR ABGABE DER ANMELDUNG - MEHR EINGEZAHLT - STEUERKREDIT     </v>
      </c>
      <c r="C61" s="5"/>
      <c r="D61" s="39">
        <v>-3970.81</v>
      </c>
    </row>
    <row r="62" spans="2:6" x14ac:dyDescent="0.2">
      <c r="B62" s="21" t="str">
        <f>INDEX(PRIJEVODI!B:D,MATCH("PDV-057",PRIJEVODI!A:A,0),MATCH(NASLOV!$B$2,PRIJEVODI!$B$1:$D$1,0))</f>
        <v xml:space="preserve">VI. INSGESAMT DIFFERENZ: FÜR EINZAHLUNG / FÜR RÜCKERSTATTUNG </v>
      </c>
      <c r="C62" s="5"/>
      <c r="D62" s="71">
        <f>+D60+D61</f>
        <v>-21949.801900000006</v>
      </c>
    </row>
    <row r="63" spans="2:6" ht="25.5" customHeight="1" thickBot="1" x14ac:dyDescent="0.25">
      <c r="B63" s="22" t="str">
        <f>INDEX(PRIJEVODI!B:D,MATCH("PDV-058",PRIJEVODI!A:A,0),MATCH(NASLOV!$B$2,PRIJEVODI!$B$1:$D$1,0))</f>
        <v>VII. JÄHRLICHER PROPORTIONALER VORSTEUERERSTATTUNGSBETRA (%)</v>
      </c>
      <c r="C63" s="14"/>
      <c r="D63" s="73"/>
      <c r="F63" s="35"/>
    </row>
    <row r="64" spans="2:6" ht="64.5" customHeight="1" x14ac:dyDescent="0.2">
      <c r="E64" s="34"/>
      <c r="F64" s="35"/>
    </row>
    <row r="65" spans="1:6" x14ac:dyDescent="0.2">
      <c r="F65" s="35"/>
    </row>
    <row r="66" spans="1:6" x14ac:dyDescent="0.2">
      <c r="F66" s="35"/>
    </row>
    <row r="68" spans="1:6" x14ac:dyDescent="0.2">
      <c r="B68" s="64" t="s">
        <v>567</v>
      </c>
      <c r="C68" s="82">
        <v>0</v>
      </c>
      <c r="D68" s="64" t="s">
        <v>567</v>
      </c>
    </row>
    <row r="69" spans="1:6" x14ac:dyDescent="0.2">
      <c r="B69" s="24" t="s">
        <v>69</v>
      </c>
      <c r="C69" s="24" t="s">
        <v>70</v>
      </c>
      <c r="D69" s="24" t="s">
        <v>71</v>
      </c>
    </row>
    <row r="72" spans="1:6" x14ac:dyDescent="0.2">
      <c r="A72" s="281" t="s">
        <v>460</v>
      </c>
      <c r="B72" s="281"/>
      <c r="D72" s="5" t="s">
        <v>573</v>
      </c>
      <c r="E72" s="2"/>
    </row>
    <row r="73" spans="1:6" ht="63.75" x14ac:dyDescent="0.2">
      <c r="A73" s="76" t="s">
        <v>572</v>
      </c>
      <c r="B73" s="3"/>
      <c r="D73" s="75" t="s">
        <v>574</v>
      </c>
      <c r="E73" s="74"/>
    </row>
  </sheetData>
  <mergeCells count="10">
    <mergeCell ref="A72:B72"/>
    <mergeCell ref="B11:B13"/>
    <mergeCell ref="C11:C13"/>
    <mergeCell ref="D10:D14"/>
    <mergeCell ref="B5:B7"/>
    <mergeCell ref="B8:B10"/>
    <mergeCell ref="D5:D7"/>
    <mergeCell ref="C5:C7"/>
    <mergeCell ref="C8:C10"/>
    <mergeCell ref="D8:D9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"/>
  <sheetViews>
    <sheetView topLeftCell="B1" zoomScale="70" zoomScaleNormal="70" workbookViewId="0">
      <selection activeCell="B46" sqref="B46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0.12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54" t="str">
        <f>NASLOV!B5</f>
        <v>Markus Renz</v>
      </c>
      <c r="B1" s="254"/>
      <c r="C1" s="254"/>
      <c r="D1" s="254"/>
      <c r="E1" s="254"/>
      <c r="F1" s="254"/>
    </row>
    <row r="2" spans="1:18" x14ac:dyDescent="0.2">
      <c r="A2" s="254"/>
      <c r="B2" s="254"/>
      <c r="C2" s="254"/>
      <c r="D2" s="254"/>
      <c r="E2" s="254"/>
      <c r="F2" s="254"/>
    </row>
    <row r="3" spans="1:18" x14ac:dyDescent="0.2">
      <c r="C3" s="252" t="str">
        <f>INDEX(PRIJEVODI!B:D,MATCH("URA75-001",PRIJEVODI!A:A,0),MATCH(NASLOV!$B$2,PRIJEVODI!$B$1:$D$1,0))</f>
        <v>STEUERPFLICHTIGER: NAME / NACHNAME</v>
      </c>
      <c r="D3" s="252"/>
      <c r="E3" s="252"/>
      <c r="F3" s="252"/>
      <c r="Q3" s="257"/>
      <c r="R3" s="257"/>
    </row>
    <row r="4" spans="1:18" x14ac:dyDescent="0.2">
      <c r="C4" s="253" t="str">
        <f>NASLOV!B7</f>
        <v>Am Sonnblick 6, Lichtenau</v>
      </c>
      <c r="D4" s="253"/>
      <c r="E4" s="253"/>
      <c r="F4" s="253"/>
    </row>
    <row r="5" spans="1:18" x14ac:dyDescent="0.2">
      <c r="C5" s="253"/>
      <c r="D5" s="253"/>
      <c r="E5" s="253"/>
      <c r="F5" s="253"/>
    </row>
    <row r="6" spans="1:18" x14ac:dyDescent="0.2">
      <c r="C6" s="252" t="str">
        <f>INDEX(PRIJEVODI!B:D,MATCH("URA75-002",PRIJEVODI!A:A,0),MATCH(NASLOV!$B$2,PRIJEVODI!$B$1:$D$1,0))</f>
        <v>ADRESSE: ORT, STRASSE UND HAUSNUMMER</v>
      </c>
      <c r="D6" s="252"/>
      <c r="E6" s="252"/>
      <c r="F6" s="252"/>
    </row>
    <row r="7" spans="1:18" x14ac:dyDescent="0.2">
      <c r="C7" s="255"/>
      <c r="D7" s="255"/>
      <c r="E7" s="255"/>
      <c r="F7" s="255"/>
    </row>
    <row r="8" spans="1:18" x14ac:dyDescent="0.2">
      <c r="C8" s="255"/>
      <c r="D8" s="255"/>
      <c r="E8" s="255"/>
      <c r="F8" s="255"/>
    </row>
    <row r="9" spans="1:18" x14ac:dyDescent="0.2">
      <c r="C9" s="252" t="str">
        <f>INDEX(PRIJEVODI!B:D,MATCH("URA75-003",PRIJEVODI!A:A,0),MATCH(NASLOV!$B$2,PRIJEVODI!$B$1:$D$1,0))</f>
        <v xml:space="preserve">NUMMERIERUNG GEMÄSS DEM NATIONALEN KLASSIFIZIERUNGSSYSTEM  </v>
      </c>
      <c r="D9" s="252"/>
      <c r="E9" s="252"/>
      <c r="F9" s="252"/>
    </row>
    <row r="10" spans="1:18" x14ac:dyDescent="0.2">
      <c r="C10" s="252"/>
      <c r="D10" s="252"/>
      <c r="E10" s="252"/>
      <c r="F10" s="252"/>
    </row>
    <row r="11" spans="1:18" x14ac:dyDescent="0.2">
      <c r="C11" s="253" t="str">
        <f>NASLOV!B9</f>
        <v>HR6411581446</v>
      </c>
      <c r="D11" s="253"/>
      <c r="E11" s="253"/>
      <c r="F11" s="253"/>
    </row>
    <row r="12" spans="1:18" x14ac:dyDescent="0.2">
      <c r="C12" s="253"/>
      <c r="D12" s="253"/>
      <c r="E12" s="253"/>
      <c r="F12" s="253"/>
    </row>
    <row r="13" spans="1:18" x14ac:dyDescent="0.2">
      <c r="C13" s="252" t="str">
        <f>INDEX(PRIJEVODI!B:D,MATCH("URA75-004",PRIJEVODI!A:A,0),MATCH(NASLOV!$B$2,PRIJEVODI!$B$1:$D$1,0))</f>
        <v>STEUERNUMMER (UID)</v>
      </c>
      <c r="D13" s="252"/>
      <c r="E13" s="252"/>
      <c r="F13" s="252"/>
    </row>
    <row r="15" spans="1:18" x14ac:dyDescent="0.2">
      <c r="G15" s="256" t="str">
        <f>INDEX(PRIJEVODI!B:D,MATCH("URA75-005",PRIJEVODI!A:A,0),MATCH(NASLOV!$B$2,PRIJEVODI!$B$1:$D$1,0))</f>
        <v>EINGANGSRECHNUNGBUCH - Art 75(2)</v>
      </c>
      <c r="H15" s="257"/>
      <c r="I15" s="257"/>
      <c r="J15" s="257"/>
      <c r="K15" s="257"/>
      <c r="L15" s="59"/>
    </row>
    <row r="16" spans="1:18" x14ac:dyDescent="0.2">
      <c r="G16" s="257"/>
      <c r="H16" s="257"/>
      <c r="I16" s="257"/>
      <c r="J16" s="257"/>
      <c r="K16" s="257"/>
      <c r="L16" s="59"/>
      <c r="O16" s="257" t="str">
        <f>INDEX(PRIJEVODI!B:D,MATCH("URA75-006",PRIJEVODI!A:A,0),MATCH(NASLOV!$B$2,PRIJEVODI!$B$1:$D$1,0))</f>
        <v>BETRAG IN KUNA UND LIPA</v>
      </c>
      <c r="P16" s="257"/>
      <c r="Q16" s="257"/>
      <c r="R16" s="257"/>
    </row>
    <row r="19" spans="2:19" ht="12.75" customHeight="1" x14ac:dyDescent="0.2">
      <c r="B19" s="226" t="str">
        <f>INDEX(PRIJEVODI!B:D,MATCH("URA75-007",PRIJEVODI!A:A,0),MATCH(NASLOV!$B$2,PRIJEVODI!$B$1:$D$1,0))</f>
        <v xml:space="preserve">ORDNUNGSNUMMER </v>
      </c>
      <c r="C19" s="229" t="str">
        <f>INDEX(PRIJEVODI!B:D,MATCH("URA75-008",PRIJEVODI!A:A,0),MATCH(NASLOV!$B$2,PRIJEVODI!$B$1:$D$1,0))</f>
        <v>RECHNUNG</v>
      </c>
      <c r="D19" s="230"/>
      <c r="E19" s="275" t="str">
        <f>INDEX(PRIJEVODI!B:D,MATCH("URA75-011",PRIJEVODI!A:A,0),MATCH(NASLOV!$B$2,PRIJEVODI!$B$1:$D$1,0))</f>
        <v>LIEFERANT (ANBIETER VON WAREN UND DIENSTLEISTUNGEN)</v>
      </c>
      <c r="F19" s="276"/>
      <c r="G19" s="276"/>
      <c r="H19" s="276"/>
      <c r="I19" s="276"/>
      <c r="J19" s="276"/>
      <c r="K19" s="276"/>
      <c r="L19" s="276"/>
      <c r="M19" s="273"/>
      <c r="N19" s="229" t="str">
        <f>INDEX(PRIJEVODI!B:D,MATCH("URA75-020",PRIJEVODI!A:A,0),MATCH(NASLOV!$B$2,PRIJEVODI!$B$1:$D$1,0))</f>
        <v>STEUER</v>
      </c>
      <c r="O19" s="260"/>
      <c r="P19" s="260"/>
      <c r="Q19" s="260"/>
      <c r="R19" s="260"/>
      <c r="S19" s="266"/>
    </row>
    <row r="20" spans="2:19" x14ac:dyDescent="0.2">
      <c r="B20" s="227"/>
      <c r="C20" s="231"/>
      <c r="D20" s="232"/>
      <c r="E20" s="269"/>
      <c r="F20" s="277"/>
      <c r="G20" s="277"/>
      <c r="H20" s="277"/>
      <c r="I20" s="277"/>
      <c r="J20" s="277"/>
      <c r="K20" s="277"/>
      <c r="L20" s="277"/>
      <c r="M20" s="278"/>
      <c r="N20" s="262"/>
      <c r="O20" s="263"/>
      <c r="P20" s="263"/>
      <c r="Q20" s="263"/>
      <c r="R20" s="263"/>
      <c r="S20" s="264"/>
    </row>
    <row r="21" spans="2:19" ht="12.75" customHeight="1" x14ac:dyDescent="0.2">
      <c r="B21" s="227"/>
      <c r="C21" s="239" t="str">
        <f>INDEX(PRIJEVODI!B:D,MATCH("URA75-009",PRIJEVODI!A:A,0),MATCH(NASLOV!$B$2,PRIJEVODI!$B$1:$D$1,0))</f>
        <v xml:space="preserve">NUMMER </v>
      </c>
      <c r="D21" s="239" t="str">
        <f>INDEX(PRIJEVODI!B:D,MATCH("URA75-010",PRIJEVODI!A:A,0),MATCH(NASLOV!$B$2,PRIJEVODI!$B$1:$D$1,0))</f>
        <v>DATUM</v>
      </c>
      <c r="E21" s="242" t="str">
        <f>INDEX(PRIJEVODI!B:D,MATCH("URA75-012",PRIJEVODI!A:A,0),MATCH(NASLOV!$B$2,PRIJEVODI!$B$1:$D$1,0))</f>
        <v>TITEL - NAME UND NACHNAME, GESCHÄFTSSITZ / SITZORT</v>
      </c>
      <c r="F21" s="243"/>
      <c r="G21" s="248" t="str">
        <f>INDEX(PRIJEVODI!B:D,MATCH("URA75-013",PRIJEVODI!A:A,0),MATCH(NASLOV!$B$2,PRIJEVODI!$B$1:$D$1,0))</f>
        <v>STEUERNUMMER (UID)</v>
      </c>
      <c r="H21" s="267" t="str">
        <f>INDEX(PRIJEVODI!B:D,MATCH("URA75-014",PRIJEVODI!A:A,0),MATCH(NASLOV!$B$2,PRIJEVODI!$B$1:$D$1,0))</f>
        <v>LIEFERWERT</v>
      </c>
      <c r="I21" s="276"/>
      <c r="J21" s="273"/>
      <c r="K21" s="248" t="str">
        <f>INDEX(PRIJEVODI!B:D,MATCH("URA75-018",PRIJEVODI!A:A,0),MATCH(NASLOV!$B$2,PRIJEVODI!$B$1:$D$1,0))</f>
        <v>GESAMTBETRAG DER RECHNUNG INKLUSIVE MwST.</v>
      </c>
      <c r="L21" s="56"/>
      <c r="M21" s="239" t="str">
        <f>INDEX(PRIJEVODI!B:D,MATCH("URA75-030",PRIJEVODI!A:A,0),MATCH(NASLOV!$B$2,PRIJEVODI!$B$1:$D$1,0))</f>
        <v>TOTAL</v>
      </c>
      <c r="N21" s="265">
        <v>0.05</v>
      </c>
      <c r="O21" s="266"/>
      <c r="P21" s="265">
        <v>0.13</v>
      </c>
      <c r="Q21" s="266"/>
      <c r="R21" s="265">
        <v>0.25</v>
      </c>
      <c r="S21" s="266"/>
    </row>
    <row r="22" spans="2:19" x14ac:dyDescent="0.2">
      <c r="B22" s="227"/>
      <c r="C22" s="240"/>
      <c r="D22" s="240"/>
      <c r="E22" s="244"/>
      <c r="F22" s="245"/>
      <c r="G22" s="249"/>
      <c r="H22" s="268"/>
      <c r="I22" s="279"/>
      <c r="J22" s="280"/>
      <c r="K22" s="249"/>
      <c r="L22" s="57"/>
      <c r="M22" s="240"/>
      <c r="N22" s="262"/>
      <c r="O22" s="264"/>
      <c r="P22" s="262"/>
      <c r="Q22" s="264"/>
      <c r="R22" s="262"/>
      <c r="S22" s="264"/>
    </row>
    <row r="23" spans="2:19" x14ac:dyDescent="0.2">
      <c r="B23" s="227"/>
      <c r="C23" s="240"/>
      <c r="D23" s="240"/>
      <c r="E23" s="244"/>
      <c r="F23" s="245"/>
      <c r="G23" s="249"/>
      <c r="H23" s="268"/>
      <c r="I23" s="279"/>
      <c r="J23" s="280"/>
      <c r="K23" s="249"/>
      <c r="L23" s="57"/>
      <c r="M23" s="240"/>
      <c r="N23" s="248" t="str">
        <f>INDEX(PRIJEVODI!B:D,MATCH("URA75-022",PRIJEVODI!A:A,0),MATCH(NASLOV!$B$2,PRIJEVODI!$B$1:$D$1,0))</f>
        <v>ABZUGSFÄHIG</v>
      </c>
      <c r="O23" s="248" t="str">
        <f>INDEX(PRIJEVODI!B:D,MATCH("URA75-023",PRIJEVODI!A:A,0),MATCH(NASLOV!$B$2,PRIJEVODI!$B$1:$D$1,0))</f>
        <v>NICHT ABZUGSFÄHIG</v>
      </c>
      <c r="P23" s="248" t="str">
        <f>INDEX(PRIJEVODI!B:D,MATCH("URA75-025",PRIJEVODI!A:A,0),MATCH(NASLOV!$B$2,PRIJEVODI!$B$1:$D$1,0))</f>
        <v>ABZUGSFÄHIG</v>
      </c>
      <c r="Q23" s="248" t="str">
        <f>INDEX(PRIJEVODI!B:D,MATCH("URA75-026",PRIJEVODI!A:A,0),MATCH(NASLOV!$B$2,PRIJEVODI!$B$1:$D$1,0))</f>
        <v>NICHT ABZUGSFÄHIG</v>
      </c>
      <c r="R23" s="248" t="str">
        <f>INDEX(PRIJEVODI!B:D,MATCH("URA75-028",PRIJEVODI!A:A,0),MATCH(NASLOV!$B$2,PRIJEVODI!$B$1:$D$1,0))</f>
        <v>ABZUGSFÄHIG</v>
      </c>
      <c r="S23" s="248" t="str">
        <f>INDEX(PRIJEVODI!B:D,MATCH("URA75-029",PRIJEVODI!A:A,0),MATCH(NASLOV!$B$2,PRIJEVODI!$B$1:$D$1,0))</f>
        <v>NICHT ABZUGSFÄHIG</v>
      </c>
    </row>
    <row r="24" spans="2:19" x14ac:dyDescent="0.2">
      <c r="B24" s="227"/>
      <c r="C24" s="240"/>
      <c r="D24" s="240"/>
      <c r="E24" s="244"/>
      <c r="F24" s="245"/>
      <c r="G24" s="249"/>
      <c r="H24" s="268"/>
      <c r="I24" s="279"/>
      <c r="J24" s="280"/>
      <c r="K24" s="249"/>
      <c r="L24" s="61" t="str">
        <f>INDEX(PRIJEVODI!B:D,MATCH("URA75-019",PRIJEVODI!A:A,0),MATCH(NASLOV!$B$2,PRIJEVODI!$B$1:$D$1,0))</f>
        <v>STEUERBEFREIUNGEN / ABZUGSFÄHIG</v>
      </c>
      <c r="M24" s="240"/>
      <c r="N24" s="249"/>
      <c r="O24" s="249"/>
      <c r="P24" s="249"/>
      <c r="Q24" s="249"/>
      <c r="R24" s="249"/>
      <c r="S24" s="249"/>
    </row>
    <row r="25" spans="2:19" x14ac:dyDescent="0.2">
      <c r="B25" s="227"/>
      <c r="C25" s="240"/>
      <c r="D25" s="240"/>
      <c r="E25" s="244"/>
      <c r="F25" s="245"/>
      <c r="G25" s="249"/>
      <c r="H25" s="269"/>
      <c r="I25" s="277"/>
      <c r="J25" s="278"/>
      <c r="K25" s="249"/>
      <c r="L25" s="57"/>
      <c r="M25" s="240"/>
      <c r="N25" s="249"/>
      <c r="O25" s="249"/>
      <c r="P25" s="249"/>
      <c r="Q25" s="249"/>
      <c r="R25" s="249"/>
      <c r="S25" s="249"/>
    </row>
    <row r="26" spans="2:19" x14ac:dyDescent="0.2">
      <c r="B26" s="227"/>
      <c r="C26" s="240"/>
      <c r="D26" s="240"/>
      <c r="E26" s="244"/>
      <c r="F26" s="245"/>
      <c r="G26" s="249"/>
      <c r="H26" s="274">
        <v>0.05</v>
      </c>
      <c r="I26" s="274">
        <v>0.1</v>
      </c>
      <c r="J26" s="274">
        <v>0.25</v>
      </c>
      <c r="K26" s="249"/>
      <c r="L26" s="57"/>
      <c r="M26" s="240"/>
      <c r="N26" s="249"/>
      <c r="O26" s="249"/>
      <c r="P26" s="249"/>
      <c r="Q26" s="249"/>
      <c r="R26" s="249"/>
      <c r="S26" s="249"/>
    </row>
    <row r="27" spans="2:19" x14ac:dyDescent="0.2">
      <c r="B27" s="228"/>
      <c r="C27" s="241"/>
      <c r="D27" s="241"/>
      <c r="E27" s="246"/>
      <c r="F27" s="247"/>
      <c r="G27" s="250"/>
      <c r="H27" s="241"/>
      <c r="I27" s="241"/>
      <c r="J27" s="241"/>
      <c r="K27" s="250"/>
      <c r="L27" s="58"/>
      <c r="M27" s="241"/>
      <c r="N27" s="250"/>
      <c r="O27" s="250"/>
      <c r="P27" s="250"/>
      <c r="Q27" s="250"/>
      <c r="R27" s="250"/>
      <c r="S27" s="250"/>
    </row>
    <row r="28" spans="2:19" x14ac:dyDescent="0.2">
      <c r="B28" s="60">
        <v>1</v>
      </c>
      <c r="C28" s="60">
        <v>2</v>
      </c>
      <c r="D28" s="60">
        <v>3</v>
      </c>
      <c r="E28" s="267">
        <v>4</v>
      </c>
      <c r="F28" s="273"/>
      <c r="G28" s="60">
        <v>5</v>
      </c>
      <c r="H28" s="60">
        <v>6</v>
      </c>
      <c r="I28" s="60">
        <v>7</v>
      </c>
      <c r="J28" s="60">
        <v>8</v>
      </c>
      <c r="K28" s="60">
        <v>9</v>
      </c>
      <c r="L28" s="60"/>
      <c r="M28" s="3" t="s">
        <v>0</v>
      </c>
      <c r="N28" s="3">
        <v>11</v>
      </c>
      <c r="O28" s="62">
        <v>12</v>
      </c>
      <c r="P28" s="3">
        <v>13</v>
      </c>
      <c r="Q28" s="62">
        <v>14</v>
      </c>
      <c r="R28" s="3">
        <v>15</v>
      </c>
      <c r="S28" s="62">
        <v>16</v>
      </c>
    </row>
    <row r="29" spans="2:19" x14ac:dyDescent="0.2">
      <c r="B29" s="2"/>
      <c r="C29" s="2"/>
      <c r="D29" s="41"/>
      <c r="E29" s="2"/>
      <c r="F29" s="2"/>
      <c r="G29" s="2"/>
      <c r="H29" s="2"/>
      <c r="I29" s="2"/>
      <c r="J29" s="33"/>
      <c r="K29" s="38"/>
      <c r="L29" s="38"/>
      <c r="M29" s="2"/>
      <c r="N29" s="6"/>
      <c r="O29" s="6"/>
      <c r="P29" s="2"/>
      <c r="Q29" s="2"/>
      <c r="R29" s="37"/>
      <c r="S29" s="6"/>
    </row>
    <row r="30" spans="2:19" x14ac:dyDescent="0.2">
      <c r="B30" s="2"/>
      <c r="C30" s="2"/>
      <c r="D30" s="41"/>
      <c r="E30" s="2"/>
      <c r="F30" s="2"/>
      <c r="G30" s="2"/>
      <c r="H30" s="2"/>
      <c r="I30" s="2"/>
      <c r="J30" s="33"/>
      <c r="K30" s="38"/>
      <c r="L30" s="38"/>
      <c r="M30" s="2"/>
      <c r="N30" s="2"/>
      <c r="O30" s="2"/>
      <c r="P30" s="2"/>
      <c r="Q30" s="2"/>
      <c r="R30" s="37"/>
      <c r="S30" s="2"/>
    </row>
    <row r="31" spans="2:19" x14ac:dyDescent="0.2">
      <c r="B31" s="2"/>
      <c r="C31" s="2"/>
      <c r="D31" s="41"/>
      <c r="E31" s="2"/>
      <c r="F31" s="2"/>
      <c r="G31" s="2"/>
      <c r="H31" s="2"/>
      <c r="I31" s="2"/>
      <c r="J31" s="33"/>
      <c r="K31" s="38"/>
      <c r="L31" s="38"/>
      <c r="M31" s="2"/>
      <c r="N31" s="2"/>
      <c r="O31" s="2"/>
      <c r="P31" s="2"/>
      <c r="Q31" s="2"/>
      <c r="R31" s="37"/>
      <c r="S31" s="2"/>
    </row>
    <row r="32" spans="2:19" x14ac:dyDescent="0.2">
      <c r="B32" s="2"/>
      <c r="C32" s="2"/>
      <c r="D32" s="41"/>
      <c r="E32" s="2"/>
      <c r="F32" s="2"/>
      <c r="G32" s="2"/>
      <c r="H32" s="2"/>
      <c r="I32" s="2"/>
      <c r="J32" s="2"/>
      <c r="K32" s="38"/>
      <c r="L32" s="38"/>
      <c r="M32" s="2"/>
      <c r="N32" s="2"/>
      <c r="O32" s="2"/>
      <c r="P32" s="2"/>
      <c r="Q32" s="2"/>
      <c r="R32" s="37"/>
      <c r="S32" s="2"/>
    </row>
    <row r="33" spans="2:19" x14ac:dyDescent="0.2">
      <c r="B33" s="2"/>
      <c r="C33" s="2"/>
      <c r="D33" s="41"/>
      <c r="E33" s="2"/>
      <c r="F33" s="2"/>
      <c r="G33" s="2"/>
      <c r="H33" s="2"/>
      <c r="I33" s="2"/>
      <c r="J33" s="33"/>
      <c r="K33" s="38"/>
      <c r="L33" s="38"/>
      <c r="M33" s="2"/>
      <c r="N33" s="2"/>
      <c r="O33" s="2"/>
      <c r="P33" s="2"/>
      <c r="Q33" s="2"/>
      <c r="R33" s="37"/>
      <c r="S33" s="2"/>
    </row>
    <row r="34" spans="2:19" x14ac:dyDescent="0.2">
      <c r="B34" s="2"/>
      <c r="C34" s="2"/>
      <c r="D34" s="41"/>
      <c r="E34" s="2"/>
      <c r="F34" s="2"/>
      <c r="G34" s="2"/>
      <c r="H34" s="2"/>
      <c r="I34" s="2"/>
      <c r="J34" s="33"/>
      <c r="K34" s="38"/>
      <c r="L34" s="38"/>
      <c r="M34" s="2"/>
      <c r="N34" s="2"/>
      <c r="O34" s="2"/>
      <c r="P34" s="2"/>
      <c r="Q34" s="2"/>
      <c r="R34" s="37"/>
      <c r="S34" s="2"/>
    </row>
    <row r="35" spans="2:19" x14ac:dyDescent="0.2">
      <c r="B35" s="2"/>
      <c r="C35" s="2"/>
      <c r="D35" s="40"/>
      <c r="E35" s="2"/>
      <c r="F35" s="2"/>
      <c r="G35" s="2"/>
      <c r="H35" s="2"/>
      <c r="I35" s="2"/>
      <c r="J35" s="33"/>
      <c r="K35" s="38"/>
      <c r="L35" s="38"/>
      <c r="M35" s="2"/>
      <c r="N35" s="2"/>
      <c r="O35" s="2"/>
      <c r="P35" s="2"/>
      <c r="Q35" s="2"/>
      <c r="R35" s="37">
        <f t="shared" ref="R35:R37" si="0">+J35*0.25</f>
        <v>0</v>
      </c>
      <c r="S35" s="2"/>
    </row>
    <row r="36" spans="2:19" x14ac:dyDescent="0.2">
      <c r="B36" s="2"/>
      <c r="C36" s="2"/>
      <c r="D36" s="40"/>
      <c r="E36" s="2"/>
      <c r="F36" s="2"/>
      <c r="G36" s="2"/>
      <c r="H36" s="2"/>
      <c r="I36" s="2"/>
      <c r="J36" s="42"/>
      <c r="K36" s="38"/>
      <c r="L36" s="38"/>
      <c r="M36" s="2"/>
      <c r="N36" s="2"/>
      <c r="O36" s="2"/>
      <c r="P36" s="2"/>
      <c r="Q36" s="2"/>
      <c r="R36" s="37">
        <f t="shared" si="0"/>
        <v>0</v>
      </c>
      <c r="S36" s="2"/>
    </row>
    <row r="37" spans="2:19" x14ac:dyDescent="0.2">
      <c r="B37" s="2"/>
      <c r="C37" s="2"/>
      <c r="D37" s="41"/>
      <c r="E37" s="2"/>
      <c r="F37" s="2"/>
      <c r="G37" s="2"/>
      <c r="H37" s="2"/>
      <c r="I37" s="2"/>
      <c r="J37" s="42"/>
      <c r="K37" s="38"/>
      <c r="L37" s="38"/>
      <c r="M37" s="2"/>
      <c r="N37" s="2"/>
      <c r="O37" s="2"/>
      <c r="P37" s="2"/>
      <c r="Q37" s="2"/>
      <c r="R37" s="37">
        <f t="shared" si="0"/>
        <v>0</v>
      </c>
      <c r="S37" s="2"/>
    </row>
    <row r="38" spans="2:19" x14ac:dyDescent="0.2">
      <c r="J38" s="39">
        <f>SUM(J29:J37)</f>
        <v>0</v>
      </c>
      <c r="K38" s="39">
        <f>SUM(K29:K37)</f>
        <v>0</v>
      </c>
      <c r="L38" s="39"/>
      <c r="R38" s="39">
        <f>SUM(R29:R37)</f>
        <v>0</v>
      </c>
    </row>
  </sheetData>
  <mergeCells count="36"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E28:F28"/>
    <mergeCell ref="M21:M27"/>
    <mergeCell ref="Q23:Q27"/>
    <mergeCell ref="R23:R27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78"/>
  <sheetViews>
    <sheetView topLeftCell="A10" workbookViewId="0">
      <selection activeCell="M77" sqref="M77:O78"/>
    </sheetView>
  </sheetViews>
  <sheetFormatPr baseColWidth="10" defaultColWidth="9" defaultRowHeight="12.75" x14ac:dyDescent="0.2"/>
  <cols>
    <col min="2" max="2" width="13.5" customWidth="1"/>
    <col min="12" max="12" width="11.375" customWidth="1"/>
    <col min="15" max="15" width="10" customWidth="1"/>
  </cols>
  <sheetData>
    <row r="2" spans="2:15" x14ac:dyDescent="0.2">
      <c r="M2" s="257" t="str">
        <f>INDEX(PRIJEVODI!B:D,MATCH("ZP-001",PRIJEVODI!A:A,0),MATCH(NASLOV!$B$2,PRIJEVODI!$B$1:$D$1,0))</f>
        <v>FORMULAR ZM</v>
      </c>
      <c r="N2" s="257"/>
      <c r="O2" s="257"/>
    </row>
    <row r="3" spans="2:15" x14ac:dyDescent="0.2">
      <c r="M3" s="257"/>
      <c r="N3" s="257"/>
      <c r="O3" s="257"/>
    </row>
    <row r="5" spans="2:15" x14ac:dyDescent="0.2">
      <c r="K5" s="306" t="str">
        <f>INDEX(PRIJEVODI!B:D,MATCH("ZP-004",PRIJEVODI!A:A,0),MATCH(NASLOV!$B$2,PRIJEVODI!$B$1:$D$1,0))</f>
        <v>STEUERNUMMER (UID)   (3)</v>
      </c>
      <c r="L5" s="308"/>
      <c r="M5" s="300" t="s">
        <v>1</v>
      </c>
      <c r="N5" s="305" t="str">
        <f>+NASLOV!B9</f>
        <v>HR6411581446</v>
      </c>
      <c r="O5" s="266"/>
    </row>
    <row r="6" spans="2:15" x14ac:dyDescent="0.2">
      <c r="B6" s="242" t="str">
        <f>INDEX(PRIJEVODI!B:D,MATCH("ZP-002",PRIJEVODI!A:A,0),MATCH(NASLOV!$B$2,PRIJEVODI!$B$1:$D$1,0))</f>
        <v>ZUSTÄNDIGES FINANZAMT - STEUERVERWALTUNG (1)</v>
      </c>
      <c r="C6" s="243"/>
      <c r="D6" s="312" t="s">
        <v>570</v>
      </c>
      <c r="E6" s="313"/>
      <c r="K6" s="309"/>
      <c r="L6" s="311"/>
      <c r="M6" s="302"/>
      <c r="N6" s="262"/>
      <c r="O6" s="264"/>
    </row>
    <row r="7" spans="2:15" x14ac:dyDescent="0.2">
      <c r="B7" s="244"/>
      <c r="C7" s="245"/>
      <c r="D7" s="314"/>
      <c r="E7" s="315"/>
      <c r="K7" s="242" t="str">
        <f>INDEX(PRIJEVODI!B:D,MATCH("ZP-006",PRIJEVODI!A:A,0),MATCH(NASLOV!$B$2,PRIJEVODI!$B$1:$D$1,0))</f>
        <v>STEUERPFLICHTIGER  (Titel / Name und Nachname)      (4)</v>
      </c>
      <c r="L7" s="243"/>
      <c r="M7" s="267" t="str">
        <f>NASLOV!B5</f>
        <v>Markus Renz</v>
      </c>
      <c r="N7" s="276"/>
      <c r="O7" s="273"/>
    </row>
    <row r="8" spans="2:15" x14ac:dyDescent="0.2">
      <c r="B8" s="246"/>
      <c r="C8" s="247"/>
      <c r="D8" s="316"/>
      <c r="E8" s="317"/>
      <c r="K8" s="244"/>
      <c r="L8" s="245"/>
      <c r="M8" s="268"/>
      <c r="N8" s="279"/>
      <c r="O8" s="280"/>
    </row>
    <row r="9" spans="2:15" x14ac:dyDescent="0.2">
      <c r="B9" s="267" t="str">
        <f>INDEX(PRIJEVODI!B:D,MATCH("ZP-003",PRIJEVODI!A:A,0),MATCH(NASLOV!$B$2,PRIJEVODI!$B$1:$D$1,0))</f>
        <v>REGIONALBÜRO  (2)</v>
      </c>
      <c r="C9" s="273"/>
      <c r="D9" s="312" t="s">
        <v>571</v>
      </c>
      <c r="E9" s="313"/>
      <c r="K9" s="246"/>
      <c r="L9" s="247"/>
      <c r="M9" s="269"/>
      <c r="N9" s="277"/>
      <c r="O9" s="278"/>
    </row>
    <row r="10" spans="2:15" x14ac:dyDescent="0.2">
      <c r="B10" s="268"/>
      <c r="C10" s="280"/>
      <c r="D10" s="314"/>
      <c r="E10" s="315"/>
      <c r="K10" s="306" t="str">
        <f>INDEX(PRIJEVODI!B:D,MATCH("ZP-007",PRIJEVODI!A:A,0),MATCH(NASLOV!$B$2,PRIJEVODI!$B$1:$D$1,0))</f>
        <v>Adresse (Ort, Strasse und Hausnummer)    (5)</v>
      </c>
      <c r="L10" s="308"/>
      <c r="M10" s="306" t="str">
        <f>NASLOV!B7</f>
        <v>Am Sonnblick 6, Lichtenau</v>
      </c>
      <c r="N10" s="307"/>
      <c r="O10" s="308"/>
    </row>
    <row r="11" spans="2:15" x14ac:dyDescent="0.2">
      <c r="B11" s="269"/>
      <c r="C11" s="278"/>
      <c r="D11" s="316"/>
      <c r="E11" s="317"/>
      <c r="K11" s="309"/>
      <c r="L11" s="311"/>
      <c r="M11" s="309"/>
      <c r="N11" s="310"/>
      <c r="O11" s="311"/>
    </row>
    <row r="12" spans="2:15" x14ac:dyDescent="0.2">
      <c r="K12" s="242" t="str">
        <f>INDEX(PRIJEVODI!B:D,MATCH("ZP-008",PRIJEVODI!A:A,0),MATCH(NASLOV!$B$2,PRIJEVODI!$B$1:$D$1,0))</f>
        <v>Steuernummer UID des Steuervertreters   (6)</v>
      </c>
      <c r="L12" s="243"/>
      <c r="M12" s="300" t="s">
        <v>1</v>
      </c>
      <c r="N12" s="305"/>
      <c r="O12" s="266"/>
    </row>
    <row r="13" spans="2:15" x14ac:dyDescent="0.2">
      <c r="K13" s="246"/>
      <c r="L13" s="247"/>
      <c r="M13" s="302"/>
      <c r="N13" s="262"/>
      <c r="O13" s="264"/>
    </row>
    <row r="19" spans="2:15" x14ac:dyDescent="0.2">
      <c r="E19" s="7"/>
      <c r="F19" s="7"/>
      <c r="G19" s="256" t="str">
        <f>INDEX(PRIJEVODI!B:D,MATCH("ZP-010",PRIJEVODI!A:A,0),MATCH(NASLOV!$B$2,PRIJEVODI!$B$1:$D$1,0))</f>
        <v>Zusammenfassende Meldung IG Lieferung</v>
      </c>
      <c r="H19" s="256"/>
      <c r="I19" s="256"/>
      <c r="J19" s="256"/>
      <c r="K19" s="7"/>
      <c r="L19" s="7"/>
      <c r="M19" s="7"/>
    </row>
    <row r="20" spans="2:15" x14ac:dyDescent="0.2">
      <c r="E20" s="7"/>
      <c r="F20" s="7"/>
      <c r="G20" s="256"/>
      <c r="H20" s="256"/>
      <c r="I20" s="256"/>
      <c r="J20" s="256"/>
      <c r="K20" s="7"/>
      <c r="L20" s="7"/>
      <c r="M20" s="7"/>
    </row>
    <row r="21" spans="2:15" x14ac:dyDescent="0.2">
      <c r="E21" s="7"/>
      <c r="F21" s="7"/>
      <c r="G21" s="7"/>
      <c r="H21" s="7"/>
      <c r="I21" s="7"/>
      <c r="J21" s="7"/>
      <c r="K21" s="7"/>
      <c r="L21" s="7"/>
      <c r="M21" s="7"/>
    </row>
    <row r="22" spans="2:15" x14ac:dyDescent="0.2">
      <c r="E22" s="7"/>
      <c r="F22" s="7"/>
      <c r="G22" s="7"/>
      <c r="H22" s="7"/>
      <c r="I22" s="7"/>
      <c r="J22" s="7"/>
      <c r="K22" s="7"/>
      <c r="L22" s="7"/>
      <c r="M22" s="7"/>
    </row>
    <row r="23" spans="2:15" x14ac:dyDescent="0.2">
      <c r="E23" s="318" t="str">
        <f>INDEX(PRIJEVODI!B:D,MATCH("ZP-011",PRIJEVODI!A:A,0),MATCH(NASLOV!$B$2,PRIJEVODI!$B$1:$D$1,0))</f>
        <v xml:space="preserve">Zusammenfassende Meldung für die Lieferungen von Gütern und Dienstleistungen in andere EU Mitgliedstaten </v>
      </c>
      <c r="F23" s="318"/>
      <c r="G23" s="318"/>
      <c r="H23" s="318"/>
      <c r="I23" s="318"/>
      <c r="J23" s="318"/>
      <c r="K23" s="318"/>
      <c r="L23" s="318"/>
      <c r="M23" s="318"/>
    </row>
    <row r="24" spans="2:15" x14ac:dyDescent="0.2">
      <c r="E24" s="318"/>
      <c r="F24" s="318"/>
      <c r="G24" s="318"/>
      <c r="H24" s="318"/>
      <c r="I24" s="318"/>
      <c r="J24" s="318"/>
      <c r="K24" s="318"/>
      <c r="L24" s="318"/>
      <c r="M24" s="318"/>
    </row>
    <row r="25" spans="2:15" x14ac:dyDescent="0.2">
      <c r="E25" s="318"/>
      <c r="F25" s="318"/>
      <c r="G25" s="318"/>
      <c r="H25" s="318"/>
      <c r="I25" s="318"/>
      <c r="J25" s="318"/>
      <c r="K25" s="318"/>
      <c r="L25" s="318"/>
      <c r="M25" s="318"/>
    </row>
    <row r="28" spans="2:15" x14ac:dyDescent="0.2">
      <c r="B28" s="248" t="str">
        <f>INDEX(PRIJEVODI!B:D,MATCH("ZP-012",PRIJEVODI!A:A,0),MATCH(NASLOV!$B$2,PRIJEVODI!$B$1:$D$1,0))</f>
        <v>Ordnungsnummer (8)</v>
      </c>
      <c r="C28" s="248" t="str">
        <f>INDEX(PRIJEVODI!B:D,MATCH("ZP-013",PRIJEVODI!A:A,0),MATCH(NASLOV!$B$2,PRIJEVODI!$B$1:$D$1,0))</f>
        <v>Landescode (9)</v>
      </c>
      <c r="D28" s="242" t="str">
        <f>INDEX(PRIJEVODI!B:D,MATCH("ZP-014",PRIJEVODI!A:A,0),MATCH(NASLOV!$B$2,PRIJEVODI!$B$1:$D$1,0))</f>
        <v>Steuernummer UID des Empfängers (ohne Landesvorwahl)   (10)</v>
      </c>
      <c r="E28" s="243"/>
      <c r="F28" s="242" t="str">
        <f>INDEX(PRIJEVODI!B:D,MATCH("ZP-015",PRIJEVODI!A:A,0),MATCH(NASLOV!$B$2,PRIJEVODI!$B$1:$D$1,0))</f>
        <v>Wert der Güterlieferung (in Kuna und Lipa)    (11)</v>
      </c>
      <c r="G28" s="243"/>
      <c r="H28" s="242" t="str">
        <f>INDEX(PRIJEVODI!B:D,MATCH("ZP-016",PRIJEVODI!A:A,0),MATCH(NASLOV!$B$2,PRIJEVODI!$B$1:$D$1,0))</f>
        <v>Wert der Güterlieferung unter dem Verfahren 42 und 63 (in Kuna und Lipa)   (12)</v>
      </c>
      <c r="I28" s="243"/>
      <c r="J28" s="242" t="str">
        <f>INDEX(PRIJEVODI!B:D,MATCH("ZP-017",PRIJEVODI!A:A,0),MATCH(NASLOV!$B$2,PRIJEVODI!$B$1:$D$1,0))</f>
        <v>Wert der Güterlieferung im Rahmen des Dreiecksgeschäft  (in Kuna und Lipa)   (13)</v>
      </c>
      <c r="K28" s="319"/>
      <c r="L28" s="243"/>
      <c r="M28" s="242" t="str">
        <f>INDEX(PRIJEVODI!B:D,MATCH("ZP-018",PRIJEVODI!A:A,0),MATCH(NASLOV!$B$2,PRIJEVODI!$B$1:$D$1,0))</f>
        <v>Wert der erbrachten Dienstleistungen (in Kuna und Lipa)  (14)</v>
      </c>
      <c r="N28" s="319"/>
      <c r="O28" s="243"/>
    </row>
    <row r="29" spans="2:15" x14ac:dyDescent="0.2">
      <c r="B29" s="249"/>
      <c r="C29" s="249"/>
      <c r="D29" s="244"/>
      <c r="E29" s="245"/>
      <c r="F29" s="244"/>
      <c r="G29" s="245"/>
      <c r="H29" s="244"/>
      <c r="I29" s="245"/>
      <c r="J29" s="244"/>
      <c r="K29" s="320"/>
      <c r="L29" s="245"/>
      <c r="M29" s="244"/>
      <c r="N29" s="320"/>
      <c r="O29" s="245"/>
    </row>
    <row r="30" spans="2:15" x14ac:dyDescent="0.2">
      <c r="B30" s="249"/>
      <c r="C30" s="249"/>
      <c r="D30" s="244"/>
      <c r="E30" s="245"/>
      <c r="F30" s="244"/>
      <c r="G30" s="245"/>
      <c r="H30" s="244"/>
      <c r="I30" s="245"/>
      <c r="J30" s="244"/>
      <c r="K30" s="320"/>
      <c r="L30" s="245"/>
      <c r="M30" s="244"/>
      <c r="N30" s="320"/>
      <c r="O30" s="245"/>
    </row>
    <row r="31" spans="2:15" x14ac:dyDescent="0.2">
      <c r="B31" s="249"/>
      <c r="C31" s="249"/>
      <c r="D31" s="244"/>
      <c r="E31" s="245"/>
      <c r="F31" s="244"/>
      <c r="G31" s="245"/>
      <c r="H31" s="244"/>
      <c r="I31" s="245"/>
      <c r="J31" s="244"/>
      <c r="K31" s="320"/>
      <c r="L31" s="245"/>
      <c r="M31" s="244"/>
      <c r="N31" s="320"/>
      <c r="O31" s="245"/>
    </row>
    <row r="32" spans="2:15" x14ac:dyDescent="0.2">
      <c r="B32" s="249"/>
      <c r="C32" s="249"/>
      <c r="D32" s="244"/>
      <c r="E32" s="245"/>
      <c r="F32" s="244"/>
      <c r="G32" s="245"/>
      <c r="H32" s="244"/>
      <c r="I32" s="245"/>
      <c r="J32" s="244"/>
      <c r="K32" s="320"/>
      <c r="L32" s="245"/>
      <c r="M32" s="244"/>
      <c r="N32" s="320"/>
      <c r="O32" s="245"/>
    </row>
    <row r="33" spans="2:15" x14ac:dyDescent="0.2">
      <c r="B33" s="249"/>
      <c r="C33" s="249"/>
      <c r="D33" s="244"/>
      <c r="E33" s="245"/>
      <c r="F33" s="244"/>
      <c r="G33" s="245"/>
      <c r="H33" s="244"/>
      <c r="I33" s="245"/>
      <c r="J33" s="244"/>
      <c r="K33" s="320"/>
      <c r="L33" s="245"/>
      <c r="M33" s="244"/>
      <c r="N33" s="320"/>
      <c r="O33" s="245"/>
    </row>
    <row r="34" spans="2:15" x14ac:dyDescent="0.2">
      <c r="B34" s="249"/>
      <c r="C34" s="249"/>
      <c r="D34" s="244"/>
      <c r="E34" s="245"/>
      <c r="F34" s="244"/>
      <c r="G34" s="245"/>
      <c r="H34" s="244"/>
      <c r="I34" s="245"/>
      <c r="J34" s="244"/>
      <c r="K34" s="320"/>
      <c r="L34" s="245"/>
      <c r="M34" s="244"/>
      <c r="N34" s="320"/>
      <c r="O34" s="245"/>
    </row>
    <row r="35" spans="2:15" x14ac:dyDescent="0.2">
      <c r="B35" s="249"/>
      <c r="C35" s="249"/>
      <c r="D35" s="244"/>
      <c r="E35" s="245"/>
      <c r="F35" s="244"/>
      <c r="G35" s="245"/>
      <c r="H35" s="244"/>
      <c r="I35" s="245"/>
      <c r="J35" s="244"/>
      <c r="K35" s="320"/>
      <c r="L35" s="245"/>
      <c r="M35" s="244"/>
      <c r="N35" s="320"/>
      <c r="O35" s="245"/>
    </row>
    <row r="36" spans="2:15" x14ac:dyDescent="0.2">
      <c r="B36" s="249"/>
      <c r="C36" s="249"/>
      <c r="D36" s="244"/>
      <c r="E36" s="245"/>
      <c r="F36" s="244"/>
      <c r="G36" s="245"/>
      <c r="H36" s="244"/>
      <c r="I36" s="245"/>
      <c r="J36" s="244"/>
      <c r="K36" s="320"/>
      <c r="L36" s="245"/>
      <c r="M36" s="244"/>
      <c r="N36" s="320"/>
      <c r="O36" s="245"/>
    </row>
    <row r="37" spans="2:15" x14ac:dyDescent="0.2">
      <c r="B37" s="250"/>
      <c r="C37" s="250"/>
      <c r="D37" s="246"/>
      <c r="E37" s="247"/>
      <c r="F37" s="246"/>
      <c r="G37" s="247"/>
      <c r="H37" s="246"/>
      <c r="I37" s="247"/>
      <c r="J37" s="246"/>
      <c r="K37" s="321"/>
      <c r="L37" s="247"/>
      <c r="M37" s="246"/>
      <c r="N37" s="321"/>
      <c r="O37" s="247"/>
    </row>
    <row r="38" spans="2:15" x14ac:dyDescent="0.2">
      <c r="B38" s="2"/>
      <c r="C38" s="2"/>
      <c r="D38" s="322"/>
      <c r="E38" s="323"/>
      <c r="F38" s="325"/>
      <c r="G38" s="326"/>
      <c r="H38" s="322"/>
      <c r="I38" s="324"/>
      <c r="J38" s="322"/>
      <c r="K38" s="324"/>
      <c r="L38" s="323"/>
      <c r="M38" s="322"/>
      <c r="N38" s="324"/>
      <c r="O38" s="323"/>
    </row>
    <row r="39" spans="2:15" x14ac:dyDescent="0.2">
      <c r="B39" s="2"/>
      <c r="C39" s="2"/>
      <c r="D39" s="322"/>
      <c r="E39" s="323"/>
      <c r="F39" s="325"/>
      <c r="G39" s="326"/>
      <c r="H39" s="322"/>
      <c r="I39" s="324"/>
      <c r="J39" s="322"/>
      <c r="K39" s="324"/>
      <c r="L39" s="323"/>
      <c r="M39" s="322"/>
      <c r="N39" s="324"/>
      <c r="O39" s="323"/>
    </row>
    <row r="40" spans="2:15" x14ac:dyDescent="0.2">
      <c r="B40" s="2"/>
      <c r="C40" s="2"/>
      <c r="D40" s="322"/>
      <c r="E40" s="323"/>
      <c r="F40" s="325"/>
      <c r="G40" s="326"/>
      <c r="H40" s="322"/>
      <c r="I40" s="324"/>
      <c r="J40" s="322"/>
      <c r="K40" s="324"/>
      <c r="L40" s="323"/>
      <c r="M40" s="322"/>
      <c r="N40" s="324"/>
      <c r="O40" s="323"/>
    </row>
    <row r="41" spans="2:15" x14ac:dyDescent="0.2">
      <c r="B41" s="2"/>
      <c r="C41" s="2"/>
      <c r="D41" s="322"/>
      <c r="E41" s="323"/>
      <c r="F41" s="325"/>
      <c r="G41" s="326"/>
      <c r="H41" s="322"/>
      <c r="I41" s="324"/>
      <c r="J41" s="322"/>
      <c r="K41" s="324"/>
      <c r="L41" s="323"/>
      <c r="M41" s="322"/>
      <c r="N41" s="324"/>
      <c r="O41" s="323"/>
    </row>
    <row r="42" spans="2:15" x14ac:dyDescent="0.2">
      <c r="B42" s="2"/>
      <c r="C42" s="2"/>
      <c r="D42" s="322"/>
      <c r="E42" s="323"/>
      <c r="F42" s="325"/>
      <c r="G42" s="326"/>
      <c r="H42" s="322"/>
      <c r="I42" s="324"/>
      <c r="J42" s="322"/>
      <c r="K42" s="324"/>
      <c r="L42" s="323"/>
      <c r="M42" s="322"/>
      <c r="N42" s="324"/>
      <c r="O42" s="323"/>
    </row>
    <row r="43" spans="2:15" x14ac:dyDescent="0.2">
      <c r="B43" s="2"/>
      <c r="C43" s="2"/>
      <c r="D43" s="322"/>
      <c r="E43" s="323"/>
      <c r="F43" s="325"/>
      <c r="G43" s="326"/>
      <c r="H43" s="322"/>
      <c r="I43" s="324"/>
      <c r="J43" s="322"/>
      <c r="K43" s="324"/>
      <c r="L43" s="323"/>
      <c r="M43" s="322"/>
      <c r="N43" s="324"/>
      <c r="O43" s="323"/>
    </row>
    <row r="44" spans="2:15" x14ac:dyDescent="0.2">
      <c r="B44" s="2"/>
      <c r="C44" s="2"/>
      <c r="D44" s="322"/>
      <c r="E44" s="323"/>
      <c r="F44" s="325"/>
      <c r="G44" s="326"/>
      <c r="H44" s="322"/>
      <c r="I44" s="324"/>
      <c r="J44" s="322"/>
      <c r="K44" s="324"/>
      <c r="L44" s="323"/>
      <c r="M44" s="322"/>
      <c r="N44" s="324"/>
      <c r="O44" s="323"/>
    </row>
    <row r="45" spans="2:15" x14ac:dyDescent="0.2">
      <c r="B45" s="2"/>
      <c r="C45" s="2"/>
      <c r="D45" s="322"/>
      <c r="E45" s="323"/>
      <c r="F45" s="322"/>
      <c r="G45" s="323"/>
      <c r="H45" s="322"/>
      <c r="I45" s="324"/>
      <c r="J45" s="322"/>
      <c r="K45" s="324"/>
      <c r="L45" s="323"/>
      <c r="M45" s="322"/>
      <c r="N45" s="324"/>
      <c r="O45" s="323"/>
    </row>
    <row r="46" spans="2:15" x14ac:dyDescent="0.2">
      <c r="B46" s="2"/>
      <c r="C46" s="2"/>
      <c r="D46" s="322"/>
      <c r="E46" s="323"/>
      <c r="F46" s="322"/>
      <c r="G46" s="323"/>
      <c r="H46" s="322"/>
      <c r="I46" s="324"/>
      <c r="J46" s="322"/>
      <c r="K46" s="324"/>
      <c r="L46" s="323"/>
      <c r="M46" s="322"/>
      <c r="N46" s="324"/>
      <c r="O46" s="323"/>
    </row>
    <row r="47" spans="2:15" x14ac:dyDescent="0.2">
      <c r="B47" s="2"/>
      <c r="C47" s="2"/>
      <c r="D47" s="322"/>
      <c r="E47" s="323"/>
      <c r="F47" s="322"/>
      <c r="G47" s="323"/>
      <c r="H47" s="322"/>
      <c r="I47" s="324"/>
      <c r="J47" s="322"/>
      <c r="K47" s="324"/>
      <c r="L47" s="323"/>
      <c r="M47" s="322"/>
      <c r="N47" s="324"/>
      <c r="O47" s="323"/>
    </row>
    <row r="48" spans="2:15" x14ac:dyDescent="0.2">
      <c r="B48" s="2"/>
      <c r="C48" s="2"/>
      <c r="D48" s="322"/>
      <c r="E48" s="323"/>
      <c r="F48" s="322"/>
      <c r="G48" s="323"/>
      <c r="H48" s="322"/>
      <c r="I48" s="324"/>
      <c r="J48" s="322"/>
      <c r="K48" s="324"/>
      <c r="L48" s="323"/>
      <c r="M48" s="322"/>
      <c r="N48" s="324"/>
      <c r="O48" s="323"/>
    </row>
    <row r="49" spans="2:15" x14ac:dyDescent="0.2">
      <c r="B49" s="2"/>
      <c r="C49" s="2"/>
      <c r="D49" s="322"/>
      <c r="E49" s="323"/>
      <c r="F49" s="322"/>
      <c r="G49" s="323"/>
      <c r="H49" s="322"/>
      <c r="I49" s="324"/>
      <c r="J49" s="322"/>
      <c r="K49" s="324"/>
      <c r="L49" s="323"/>
      <c r="M49" s="322"/>
      <c r="N49" s="324"/>
      <c r="O49" s="323"/>
    </row>
    <row r="50" spans="2:15" x14ac:dyDescent="0.2">
      <c r="B50" s="2"/>
      <c r="C50" s="2"/>
      <c r="D50" s="322"/>
      <c r="E50" s="323"/>
      <c r="F50" s="327"/>
      <c r="G50" s="328"/>
      <c r="H50" s="322"/>
      <c r="I50" s="324"/>
      <c r="J50" s="322"/>
      <c r="K50" s="324"/>
      <c r="L50" s="323"/>
      <c r="M50" s="322"/>
      <c r="N50" s="324"/>
      <c r="O50" s="323"/>
    </row>
    <row r="51" spans="2:15" x14ac:dyDescent="0.2">
      <c r="B51" s="2"/>
      <c r="C51" s="2"/>
      <c r="D51" s="322"/>
      <c r="E51" s="323"/>
      <c r="F51" s="322"/>
      <c r="G51" s="323"/>
      <c r="H51" s="322"/>
      <c r="I51" s="324"/>
      <c r="J51" s="322"/>
      <c r="K51" s="324"/>
      <c r="L51" s="323"/>
      <c r="M51" s="322"/>
      <c r="N51" s="324"/>
      <c r="O51" s="323"/>
    </row>
    <row r="52" spans="2:15" x14ac:dyDescent="0.2">
      <c r="B52" s="2"/>
      <c r="C52" s="2"/>
      <c r="D52" s="322"/>
      <c r="E52" s="323"/>
      <c r="F52" s="322"/>
      <c r="G52" s="323"/>
      <c r="H52" s="322"/>
      <c r="I52" s="324"/>
      <c r="J52" s="322"/>
      <c r="K52" s="324"/>
      <c r="L52" s="323"/>
      <c r="M52" s="322"/>
      <c r="N52" s="324"/>
      <c r="O52" s="323"/>
    </row>
    <row r="53" spans="2:15" x14ac:dyDescent="0.2">
      <c r="B53" s="2"/>
      <c r="C53" s="2"/>
      <c r="D53" s="322"/>
      <c r="E53" s="323"/>
      <c r="F53" s="322"/>
      <c r="G53" s="323"/>
      <c r="H53" s="322"/>
      <c r="I53" s="324"/>
      <c r="J53" s="322"/>
      <c r="K53" s="324"/>
      <c r="L53" s="323"/>
      <c r="M53" s="322"/>
      <c r="N53" s="324"/>
      <c r="O53" s="323"/>
    </row>
    <row r="54" spans="2:15" x14ac:dyDescent="0.2">
      <c r="B54" s="2"/>
      <c r="C54" s="2"/>
      <c r="D54" s="322"/>
      <c r="E54" s="323"/>
      <c r="F54" s="322"/>
      <c r="G54" s="323"/>
      <c r="H54" s="322"/>
      <c r="I54" s="324"/>
      <c r="J54" s="322"/>
      <c r="K54" s="324"/>
      <c r="L54" s="323"/>
      <c r="M54" s="322"/>
      <c r="N54" s="324"/>
      <c r="O54" s="323"/>
    </row>
    <row r="55" spans="2:15" x14ac:dyDescent="0.2">
      <c r="B55" s="2"/>
      <c r="C55" s="2"/>
      <c r="D55" s="322"/>
      <c r="E55" s="323"/>
      <c r="F55" s="322"/>
      <c r="G55" s="323"/>
      <c r="H55" s="322"/>
      <c r="I55" s="324"/>
      <c r="J55" s="322"/>
      <c r="K55" s="324"/>
      <c r="L55" s="323"/>
      <c r="M55" s="322"/>
      <c r="N55" s="324"/>
      <c r="O55" s="323"/>
    </row>
    <row r="56" spans="2:15" x14ac:dyDescent="0.2">
      <c r="B56" s="2"/>
      <c r="C56" s="2"/>
      <c r="D56" s="322"/>
      <c r="E56" s="323"/>
      <c r="F56" s="322"/>
      <c r="G56" s="323"/>
      <c r="H56" s="322"/>
      <c r="I56" s="324"/>
      <c r="J56" s="322"/>
      <c r="K56" s="324"/>
      <c r="L56" s="323"/>
      <c r="M56" s="322"/>
      <c r="N56" s="324"/>
      <c r="O56" s="323"/>
    </row>
    <row r="57" spans="2:15" x14ac:dyDescent="0.2">
      <c r="B57" s="2"/>
      <c r="C57" s="2"/>
      <c r="D57" s="322"/>
      <c r="E57" s="323"/>
      <c r="F57" s="322"/>
      <c r="G57" s="323"/>
      <c r="H57" s="322"/>
      <c r="I57" s="324"/>
      <c r="J57" s="322"/>
      <c r="K57" s="324"/>
      <c r="L57" s="323"/>
      <c r="M57" s="322"/>
      <c r="N57" s="324"/>
      <c r="O57" s="323"/>
    </row>
    <row r="58" spans="2:15" x14ac:dyDescent="0.2">
      <c r="B58" s="2"/>
      <c r="C58" s="2"/>
      <c r="D58" s="322"/>
      <c r="E58" s="323"/>
      <c r="F58" s="322"/>
      <c r="G58" s="323"/>
      <c r="H58" s="322"/>
      <c r="I58" s="324"/>
      <c r="J58" s="322"/>
      <c r="K58" s="324"/>
      <c r="L58" s="323"/>
      <c r="M58" s="322"/>
      <c r="N58" s="324"/>
      <c r="O58" s="323"/>
    </row>
    <row r="59" spans="2:15" x14ac:dyDescent="0.2">
      <c r="B59" s="2"/>
      <c r="C59" s="2"/>
      <c r="D59" s="322"/>
      <c r="E59" s="323"/>
      <c r="F59" s="322"/>
      <c r="G59" s="323"/>
      <c r="H59" s="322"/>
      <c r="I59" s="324"/>
      <c r="J59" s="322"/>
      <c r="K59" s="324"/>
      <c r="L59" s="323"/>
      <c r="M59" s="322"/>
      <c r="N59" s="324"/>
      <c r="O59" s="323"/>
    </row>
    <row r="60" spans="2:15" x14ac:dyDescent="0.2">
      <c r="B60" s="2"/>
      <c r="C60" s="2"/>
      <c r="D60" s="322"/>
      <c r="E60" s="323"/>
      <c r="F60" s="322"/>
      <c r="G60" s="323"/>
      <c r="H60" s="322"/>
      <c r="I60" s="324"/>
      <c r="J60" s="322"/>
      <c r="K60" s="324"/>
      <c r="L60" s="323"/>
      <c r="M60" s="322"/>
      <c r="N60" s="324"/>
      <c r="O60" s="323"/>
    </row>
    <row r="61" spans="2:15" x14ac:dyDescent="0.2">
      <c r="B61" s="2"/>
      <c r="C61" s="2"/>
      <c r="D61" s="322"/>
      <c r="E61" s="323"/>
      <c r="F61" s="322"/>
      <c r="G61" s="323"/>
      <c r="H61" s="322"/>
      <c r="I61" s="324"/>
      <c r="J61" s="322"/>
      <c r="K61" s="324"/>
      <c r="L61" s="323"/>
      <c r="M61" s="322"/>
      <c r="N61" s="324"/>
      <c r="O61" s="323"/>
    </row>
    <row r="62" spans="2:15" x14ac:dyDescent="0.2">
      <c r="B62" s="2"/>
      <c r="C62" s="2"/>
      <c r="D62" s="322"/>
      <c r="E62" s="323"/>
      <c r="F62" s="322"/>
      <c r="G62" s="323"/>
      <c r="H62" s="322"/>
      <c r="I62" s="324"/>
      <c r="J62" s="322"/>
      <c r="K62" s="324"/>
      <c r="L62" s="323"/>
      <c r="M62" s="322"/>
      <c r="N62" s="324"/>
      <c r="O62" s="323"/>
    </row>
    <row r="63" spans="2:15" x14ac:dyDescent="0.2">
      <c r="B63" s="305" t="str">
        <f>INDEX(PRIJEVODI!B:D,MATCH("ZP-019",PRIJEVODI!A:A,0),MATCH(NASLOV!$B$2,PRIJEVODI!$B$1:$D$1,0))</f>
        <v>Gesamtwert</v>
      </c>
      <c r="C63" s="260"/>
      <c r="D63" s="260"/>
      <c r="E63" s="266"/>
      <c r="F63" s="305" t="s">
        <v>2</v>
      </c>
      <c r="G63" s="266"/>
      <c r="H63" s="305" t="s">
        <v>3</v>
      </c>
      <c r="I63" s="266"/>
      <c r="J63" s="305" t="s">
        <v>4</v>
      </c>
      <c r="K63" s="260"/>
      <c r="L63" s="266"/>
      <c r="M63" s="305" t="s">
        <v>5</v>
      </c>
      <c r="N63" s="260"/>
      <c r="O63" s="266"/>
    </row>
    <row r="64" spans="2:15" ht="25.5" customHeight="1" x14ac:dyDescent="0.2">
      <c r="B64" s="262"/>
      <c r="C64" s="263"/>
      <c r="D64" s="263"/>
      <c r="E64" s="264"/>
      <c r="F64" s="262"/>
      <c r="G64" s="264"/>
      <c r="H64" s="262"/>
      <c r="I64" s="264"/>
      <c r="J64" s="262"/>
      <c r="K64" s="263"/>
      <c r="L64" s="264"/>
      <c r="M64" s="262"/>
      <c r="N64" s="263"/>
      <c r="O64" s="264"/>
    </row>
    <row r="75" spans="2:15" x14ac:dyDescent="0.2">
      <c r="B75" s="267" t="str">
        <f>INDEX(PRIJEVODI!B:D,MATCH("ZP-020",PRIJEVODI!A:A,0),MATCH(NASLOV!$B$2,PRIJEVODI!$B$1:$D$1,0))</f>
        <v>Hiermit bestätige ich die Richtigkeit der genannten Daten</v>
      </c>
      <c r="C75" s="276"/>
      <c r="D75" s="276"/>
      <c r="E75" s="276"/>
      <c r="F75" s="276"/>
      <c r="G75" s="276"/>
      <c r="H75" s="273"/>
      <c r="K75" s="242" t="str">
        <f>INDEX(PRIJEVODI!B:D,MATCH("ZP-022",PRIJEVODI!A:A,0),MATCH(NASLOV!$B$2,PRIJEVODI!$B$1:$D$1,0))</f>
        <v>Unterschrift    (20)</v>
      </c>
      <c r="L75" s="243"/>
      <c r="M75" s="267"/>
      <c r="N75" s="276"/>
      <c r="O75" s="273"/>
    </row>
    <row r="76" spans="2:15" x14ac:dyDescent="0.2">
      <c r="B76" s="269"/>
      <c r="C76" s="277"/>
      <c r="D76" s="277"/>
      <c r="E76" s="277"/>
      <c r="F76" s="277"/>
      <c r="G76" s="277"/>
      <c r="H76" s="278"/>
      <c r="K76" s="246"/>
      <c r="L76" s="247"/>
      <c r="M76" s="269"/>
      <c r="N76" s="277"/>
      <c r="O76" s="278"/>
    </row>
    <row r="77" spans="2:15" x14ac:dyDescent="0.2">
      <c r="B77" s="242" t="str">
        <f>INDEX(PRIJEVODI!B:D,MATCH("ZP-021",PRIJEVODI!A:A,0),MATCH(NASLOV!$B$2,PRIJEVODI!$B$1:$D$1,0))</f>
        <v>Berechnung verfasst von (Name und Nachname)  (19)</v>
      </c>
      <c r="C77" s="319"/>
      <c r="D77" s="243"/>
      <c r="E77" s="267" t="s">
        <v>568</v>
      </c>
      <c r="F77" s="276"/>
      <c r="G77" s="276"/>
      <c r="H77" s="273"/>
      <c r="K77" s="242" t="str">
        <f>INDEX(PRIJEVODI!B:D,MATCH("ZP-023",PRIJEVODI!A:A,0),MATCH(NASLOV!$B$2,PRIJEVODI!$B$1:$D$1,0))</f>
        <v>Telefonnummer / Fax /E-Mail  (21)</v>
      </c>
      <c r="L77" s="243"/>
      <c r="M77" s="329" t="s">
        <v>569</v>
      </c>
      <c r="N77" s="319"/>
      <c r="O77" s="243"/>
    </row>
    <row r="78" spans="2:15" ht="27" customHeight="1" x14ac:dyDescent="0.2">
      <c r="B78" s="246"/>
      <c r="C78" s="321"/>
      <c r="D78" s="247"/>
      <c r="E78" s="269"/>
      <c r="F78" s="277"/>
      <c r="G78" s="277"/>
      <c r="H78" s="278"/>
      <c r="K78" s="246"/>
      <c r="L78" s="247"/>
      <c r="M78" s="246"/>
      <c r="N78" s="321"/>
      <c r="O78" s="247"/>
    </row>
  </sheetData>
  <mergeCells count="161">
    <mergeCell ref="M77:O78"/>
    <mergeCell ref="M2:O3"/>
    <mergeCell ref="M59:O59"/>
    <mergeCell ref="M60:O60"/>
    <mergeCell ref="M61:O61"/>
    <mergeCell ref="M62:O62"/>
    <mergeCell ref="B75:H76"/>
    <mergeCell ref="B77:D78"/>
    <mergeCell ref="E77:H78"/>
    <mergeCell ref="K75:L76"/>
    <mergeCell ref="K77:L78"/>
    <mergeCell ref="M75:O76"/>
    <mergeCell ref="M53:O53"/>
    <mergeCell ref="M54:O54"/>
    <mergeCell ref="M55:O55"/>
    <mergeCell ref="M56:O56"/>
    <mergeCell ref="M57:O57"/>
    <mergeCell ref="M58:O58"/>
    <mergeCell ref="M47:O47"/>
    <mergeCell ref="M48:O48"/>
    <mergeCell ref="M49:O49"/>
    <mergeCell ref="M50:O50"/>
    <mergeCell ref="M51:O51"/>
    <mergeCell ref="M52:O52"/>
    <mergeCell ref="M63:O64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J59:L59"/>
    <mergeCell ref="J60:L60"/>
    <mergeCell ref="J61:L61"/>
    <mergeCell ref="J62:L62"/>
    <mergeCell ref="F63:G64"/>
    <mergeCell ref="H63:I64"/>
    <mergeCell ref="J63:L64"/>
    <mergeCell ref="J53:L53"/>
    <mergeCell ref="J54:L54"/>
    <mergeCell ref="J56:L56"/>
    <mergeCell ref="J55:L55"/>
    <mergeCell ref="J57:L57"/>
    <mergeCell ref="J58:L58"/>
    <mergeCell ref="J47:L47"/>
    <mergeCell ref="J48:L48"/>
    <mergeCell ref="J49:L49"/>
    <mergeCell ref="J50:L50"/>
    <mergeCell ref="J51:L51"/>
    <mergeCell ref="J52:L52"/>
    <mergeCell ref="H62:I62"/>
    <mergeCell ref="J38:L38"/>
    <mergeCell ref="J39:L39"/>
    <mergeCell ref="J40:L40"/>
    <mergeCell ref="J41:L41"/>
    <mergeCell ref="J42:L42"/>
    <mergeCell ref="J43:L43"/>
    <mergeCell ref="J44:L44"/>
    <mergeCell ref="J45:L45"/>
    <mergeCell ref="J46:L46"/>
    <mergeCell ref="H53:I53"/>
    <mergeCell ref="H54:I54"/>
    <mergeCell ref="H39:I39"/>
    <mergeCell ref="H40:I40"/>
    <mergeCell ref="H41:I41"/>
    <mergeCell ref="H42:I42"/>
    <mergeCell ref="H43:I43"/>
    <mergeCell ref="H44:I44"/>
    <mergeCell ref="B63:E64"/>
    <mergeCell ref="H55:I55"/>
    <mergeCell ref="H56:I56"/>
    <mergeCell ref="H57:I57"/>
    <mergeCell ref="H58:I58"/>
    <mergeCell ref="H59:I59"/>
    <mergeCell ref="H60:I60"/>
    <mergeCell ref="H61:I61"/>
    <mergeCell ref="H47:I47"/>
    <mergeCell ref="H48:I48"/>
    <mergeCell ref="H49:I49"/>
    <mergeCell ref="H50:I50"/>
    <mergeCell ref="H51:I51"/>
    <mergeCell ref="H52:I52"/>
    <mergeCell ref="F61:G61"/>
    <mergeCell ref="F62:G62"/>
    <mergeCell ref="D61:E61"/>
    <mergeCell ref="D62:E62"/>
    <mergeCell ref="D54:E54"/>
    <mergeCell ref="D55:E55"/>
    <mergeCell ref="F47:G47"/>
    <mergeCell ref="F48:G48"/>
    <mergeCell ref="D58:E58"/>
    <mergeCell ref="D59:E59"/>
    <mergeCell ref="D60:E60"/>
    <mergeCell ref="D56:E56"/>
    <mergeCell ref="D57:E57"/>
    <mergeCell ref="H45:I45"/>
    <mergeCell ref="H46:I46"/>
    <mergeCell ref="F55:G55"/>
    <mergeCell ref="F56:G56"/>
    <mergeCell ref="F57:G57"/>
    <mergeCell ref="F58:G58"/>
    <mergeCell ref="F59:G59"/>
    <mergeCell ref="F60:G60"/>
    <mergeCell ref="F49:G49"/>
    <mergeCell ref="F50:G50"/>
    <mergeCell ref="F51:G51"/>
    <mergeCell ref="F52:G52"/>
    <mergeCell ref="F53:G53"/>
    <mergeCell ref="F54:G54"/>
    <mergeCell ref="D52:E52"/>
    <mergeCell ref="D53:E53"/>
    <mergeCell ref="D46:E46"/>
    <mergeCell ref="D47:E47"/>
    <mergeCell ref="D48:E48"/>
    <mergeCell ref="D49:E49"/>
    <mergeCell ref="D50:E50"/>
    <mergeCell ref="D51:E51"/>
    <mergeCell ref="H38:I38"/>
    <mergeCell ref="D38:E38"/>
    <mergeCell ref="D39:E39"/>
    <mergeCell ref="D40:E40"/>
    <mergeCell ref="D41:E41"/>
    <mergeCell ref="D42:E42"/>
    <mergeCell ref="D43:E43"/>
    <mergeCell ref="D44:E44"/>
    <mergeCell ref="D45:E45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G19:J20"/>
    <mergeCell ref="E23:M25"/>
    <mergeCell ref="B28:B37"/>
    <mergeCell ref="C28:C37"/>
    <mergeCell ref="D28:E37"/>
    <mergeCell ref="F28:G37"/>
    <mergeCell ref="H28:I37"/>
    <mergeCell ref="J28:L37"/>
    <mergeCell ref="M28:O37"/>
    <mergeCell ref="K12:L13"/>
    <mergeCell ref="M5:M6"/>
    <mergeCell ref="N5:O6"/>
    <mergeCell ref="M12:M13"/>
    <mergeCell ref="N12:O13"/>
    <mergeCell ref="M7:O9"/>
    <mergeCell ref="M10:O11"/>
    <mergeCell ref="B6:C8"/>
    <mergeCell ref="B9:C11"/>
    <mergeCell ref="D6:E8"/>
    <mergeCell ref="D9:E11"/>
    <mergeCell ref="K5:L6"/>
    <mergeCell ref="K7:L9"/>
    <mergeCell ref="K10:L11"/>
  </mergeCells>
  <hyperlinks>
    <hyperlink ref="M77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</vt:i4>
      </vt:variant>
    </vt:vector>
  </HeadingPairs>
  <TitlesOfParts>
    <vt:vector size="13" baseType="lpstr">
      <vt:lpstr>PRIJEVODI</vt:lpstr>
      <vt:lpstr>NASLOV</vt:lpstr>
      <vt:lpstr>I-RA</vt:lpstr>
      <vt:lpstr>IC Aq</vt:lpstr>
      <vt:lpstr>U-RA</vt:lpstr>
      <vt:lpstr>INOPPO</vt:lpstr>
      <vt:lpstr>PDV</vt:lpstr>
      <vt:lpstr>URA_75(2)</vt:lpstr>
      <vt:lpstr>ZP</vt:lpstr>
      <vt:lpstr>PDV-S</vt:lpstr>
      <vt:lpstr>FX082020</vt:lpstr>
      <vt:lpstr>Nicht anerkannt</vt:lpstr>
      <vt:lpstr>PDV!Druckbereich</vt:lpstr>
    </vt:vector>
  </TitlesOfParts>
  <Company>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Aleksić Sonja</dc:creator>
  <cp:lastModifiedBy>User</cp:lastModifiedBy>
  <cp:lastPrinted>2017-10-20T13:50:45Z</cp:lastPrinted>
  <dcterms:created xsi:type="dcterms:W3CDTF">2013-07-05T09:42:56Z</dcterms:created>
  <dcterms:modified xsi:type="dcterms:W3CDTF">2023-07-10T14:18:49Z</dcterms:modified>
</cp:coreProperties>
</file>