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ine Ablage\Steuer - Finanz - Vollmacht - Steuerberater\Einnahmen - Ausgabenaufstellung\EA-2024\"/>
    </mc:Choice>
  </mc:AlternateContent>
  <xr:revisionPtr revIDLastSave="0" documentId="13_ncr:1_{98585FCF-D28F-4E88-A0D0-4501011FBFD1}" xr6:coauthVersionLast="47" xr6:coauthVersionMax="47" xr10:uidLastSave="{00000000-0000-0000-0000-000000000000}"/>
  <bookViews>
    <workbookView xWindow="-120" yWindow="-120" windowWidth="29040" windowHeight="15840" firstSheet="2" activeTab="4" xr2:uid="{00000000-000D-0000-FFFF-FFFF00000000}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3">'IC Aq'!$A$1:$V$131</definedName>
    <definedName name="_xlnm.Print_Area" localSheetId="2">'I-RA'!$A$1:$X$142</definedName>
    <definedName name="_xlnm.Print_Area" localSheetId="6">PDV!$A$2:$E$73</definedName>
    <definedName name="_xlnm.Print_Area" localSheetId="4">'U-RA'!$A:$X</definedName>
  </definedNames>
  <calcPr calcId="191029"/>
</workbook>
</file>

<file path=xl/calcChain.xml><?xml version="1.0" encoding="utf-8"?>
<calcChain xmlns="http://schemas.openxmlformats.org/spreadsheetml/2006/main">
  <c r="J74" i="8" l="1"/>
  <c r="H67" i="1"/>
  <c r="V44" i="1"/>
  <c r="H44" i="1"/>
  <c r="U41" i="1"/>
  <c r="H41" i="1" s="1"/>
  <c r="U42" i="1"/>
  <c r="H42" i="1" s="1"/>
  <c r="U40" i="1"/>
  <c r="H40" i="1" s="1"/>
  <c r="O158" i="2"/>
  <c r="J158" i="2"/>
  <c r="L158" i="2"/>
  <c r="Q158" i="2"/>
  <c r="S158" i="2"/>
  <c r="I158" i="2"/>
  <c r="P133" i="2"/>
  <c r="R133" i="2"/>
  <c r="P134" i="2"/>
  <c r="R134" i="2"/>
  <c r="P135" i="2"/>
  <c r="R135" i="2"/>
  <c r="P136" i="2"/>
  <c r="R136" i="2"/>
  <c r="P137" i="2"/>
  <c r="R137" i="2"/>
  <c r="P138" i="2"/>
  <c r="R138" i="2"/>
  <c r="P139" i="2"/>
  <c r="R139" i="2"/>
  <c r="P140" i="2"/>
  <c r="R140" i="2"/>
  <c r="P141" i="2"/>
  <c r="R141" i="2"/>
  <c r="P142" i="2"/>
  <c r="R142" i="2"/>
  <c r="P143" i="2"/>
  <c r="R143" i="2"/>
  <c r="P144" i="2"/>
  <c r="R144" i="2"/>
  <c r="P145" i="2"/>
  <c r="M145" i="2" s="1"/>
  <c r="K145" i="2" s="1"/>
  <c r="R145" i="2"/>
  <c r="M146" i="2"/>
  <c r="K146" i="2" s="1"/>
  <c r="P146" i="2"/>
  <c r="R146" i="2"/>
  <c r="P147" i="2"/>
  <c r="M147" i="2" s="1"/>
  <c r="K147" i="2" s="1"/>
  <c r="R147" i="2"/>
  <c r="P148" i="2"/>
  <c r="M148" i="2" s="1"/>
  <c r="K148" i="2" s="1"/>
  <c r="R148" i="2"/>
  <c r="P149" i="2"/>
  <c r="M149" i="2" s="1"/>
  <c r="K149" i="2" s="1"/>
  <c r="R149" i="2"/>
  <c r="M150" i="2"/>
  <c r="K150" i="2" s="1"/>
  <c r="P150" i="2"/>
  <c r="R150" i="2"/>
  <c r="P151" i="2"/>
  <c r="M151" i="2" s="1"/>
  <c r="K151" i="2" s="1"/>
  <c r="R151" i="2"/>
  <c r="P152" i="2"/>
  <c r="M152" i="2" s="1"/>
  <c r="K152" i="2" s="1"/>
  <c r="R152" i="2"/>
  <c r="P153" i="2"/>
  <c r="M153" i="2" s="1"/>
  <c r="K153" i="2" s="1"/>
  <c r="R153" i="2"/>
  <c r="M154" i="2"/>
  <c r="K154" i="2" s="1"/>
  <c r="P154" i="2"/>
  <c r="R154" i="2"/>
  <c r="P155" i="2"/>
  <c r="M155" i="2" s="1"/>
  <c r="K155" i="2" s="1"/>
  <c r="R155" i="2"/>
  <c r="P156" i="2"/>
  <c r="M156" i="2" s="1"/>
  <c r="K156" i="2" s="1"/>
  <c r="R156" i="2"/>
  <c r="J56" i="8"/>
  <c r="R56" i="8" s="1"/>
  <c r="M56" i="8" s="1"/>
  <c r="K56" i="8" s="1"/>
  <c r="J57" i="8"/>
  <c r="R57" i="8" s="1"/>
  <c r="M57" i="8" s="1"/>
  <c r="K57" i="8" s="1"/>
  <c r="J58" i="8"/>
  <c r="R58" i="8" s="1"/>
  <c r="M58" i="8" s="1"/>
  <c r="K58" i="8" s="1"/>
  <c r="J59" i="8"/>
  <c r="R59" i="8" s="1"/>
  <c r="M59" i="8" s="1"/>
  <c r="K59" i="8" s="1"/>
  <c r="J60" i="8"/>
  <c r="R60" i="8" s="1"/>
  <c r="M60" i="8" s="1"/>
  <c r="K60" i="8" s="1"/>
  <c r="J61" i="8"/>
  <c r="R61" i="8" s="1"/>
  <c r="M61" i="8" s="1"/>
  <c r="K61" i="8" s="1"/>
  <c r="J62" i="8"/>
  <c r="R62" i="8" s="1"/>
  <c r="M62" i="8" s="1"/>
  <c r="K62" i="8" s="1"/>
  <c r="J63" i="8"/>
  <c r="R63" i="8" s="1"/>
  <c r="M63" i="8" s="1"/>
  <c r="K63" i="8" s="1"/>
  <c r="J64" i="8"/>
  <c r="R64" i="8" s="1"/>
  <c r="M64" i="8" s="1"/>
  <c r="K64" i="8" s="1"/>
  <c r="J65" i="8"/>
  <c r="R65" i="8" s="1"/>
  <c r="M65" i="8" s="1"/>
  <c r="K65" i="8" s="1"/>
  <c r="J66" i="8"/>
  <c r="R66" i="8" s="1"/>
  <c r="M66" i="8" s="1"/>
  <c r="K66" i="8" s="1"/>
  <c r="J67" i="8"/>
  <c r="R67" i="8" s="1"/>
  <c r="M67" i="8" s="1"/>
  <c r="K67" i="8" s="1"/>
  <c r="J68" i="8"/>
  <c r="R68" i="8" s="1"/>
  <c r="M68" i="8" s="1"/>
  <c r="K68" i="8" s="1"/>
  <c r="J69" i="8"/>
  <c r="R69" i="8" s="1"/>
  <c r="M69" i="8" s="1"/>
  <c r="K69" i="8" s="1"/>
  <c r="J70" i="8"/>
  <c r="R70" i="8" s="1"/>
  <c r="M70" i="8" s="1"/>
  <c r="K70" i="8" s="1"/>
  <c r="J71" i="8"/>
  <c r="R71" i="8" s="1"/>
  <c r="M71" i="8" s="1"/>
  <c r="K71" i="8" s="1"/>
  <c r="J72" i="8"/>
  <c r="R72" i="8" s="1"/>
  <c r="M72" i="8" s="1"/>
  <c r="K72" i="8" s="1"/>
  <c r="J73" i="8"/>
  <c r="R73" i="8" s="1"/>
  <c r="M73" i="8" s="1"/>
  <c r="K73" i="8" s="1"/>
  <c r="M138" i="2" l="1"/>
  <c r="K138" i="2" s="1"/>
  <c r="M144" i="2"/>
  <c r="K144" i="2" s="1"/>
  <c r="M142" i="2"/>
  <c r="K142" i="2" s="1"/>
  <c r="M140" i="2"/>
  <c r="K140" i="2" s="1"/>
  <c r="M136" i="2"/>
  <c r="K136" i="2" s="1"/>
  <c r="M134" i="2"/>
  <c r="K134" i="2" s="1"/>
  <c r="M143" i="2"/>
  <c r="K143" i="2" s="1"/>
  <c r="M141" i="2"/>
  <c r="K141" i="2" s="1"/>
  <c r="M139" i="2"/>
  <c r="K139" i="2" s="1"/>
  <c r="M137" i="2"/>
  <c r="K137" i="2" s="1"/>
  <c r="M135" i="2"/>
  <c r="K135" i="2" s="1"/>
  <c r="M133" i="2"/>
  <c r="K133" i="2" s="1"/>
  <c r="P115" i="2" l="1"/>
  <c r="M115" i="2" s="1"/>
  <c r="K115" i="2" s="1"/>
  <c r="R115" i="2"/>
  <c r="P116" i="2"/>
  <c r="M116" i="2" s="1"/>
  <c r="K116" i="2" s="1"/>
  <c r="R116" i="2"/>
  <c r="P117" i="2"/>
  <c r="R117" i="2"/>
  <c r="P118" i="2"/>
  <c r="M118" i="2" s="1"/>
  <c r="K118" i="2" s="1"/>
  <c r="R118" i="2"/>
  <c r="P119" i="2"/>
  <c r="M119" i="2" s="1"/>
  <c r="K119" i="2" s="1"/>
  <c r="R119" i="2"/>
  <c r="P120" i="2"/>
  <c r="R120" i="2"/>
  <c r="M120" i="2" s="1"/>
  <c r="K120" i="2" s="1"/>
  <c r="M121" i="2"/>
  <c r="K121" i="2" s="1"/>
  <c r="P121" i="2"/>
  <c r="R121" i="2"/>
  <c r="P122" i="2"/>
  <c r="M122" i="2" s="1"/>
  <c r="K122" i="2" s="1"/>
  <c r="R122" i="2"/>
  <c r="P123" i="2"/>
  <c r="R123" i="2"/>
  <c r="M124" i="2"/>
  <c r="K124" i="2" s="1"/>
  <c r="P124" i="2"/>
  <c r="R124" i="2"/>
  <c r="P125" i="2"/>
  <c r="R125" i="2"/>
  <c r="P126" i="2"/>
  <c r="R126" i="2"/>
  <c r="M126" i="2" s="1"/>
  <c r="K126" i="2" s="1"/>
  <c r="P127" i="2"/>
  <c r="M127" i="2" s="1"/>
  <c r="K127" i="2" s="1"/>
  <c r="R127" i="2"/>
  <c r="P128" i="2"/>
  <c r="M128" i="2" s="1"/>
  <c r="K128" i="2" s="1"/>
  <c r="R128" i="2"/>
  <c r="P129" i="2"/>
  <c r="R129" i="2"/>
  <c r="M129" i="2" s="1"/>
  <c r="K129" i="2" s="1"/>
  <c r="M130" i="2"/>
  <c r="K130" i="2" s="1"/>
  <c r="P130" i="2"/>
  <c r="R130" i="2"/>
  <c r="P131" i="2"/>
  <c r="R131" i="2"/>
  <c r="P132" i="2"/>
  <c r="R132" i="2"/>
  <c r="M132" i="2" s="1"/>
  <c r="K132" i="2" s="1"/>
  <c r="M125" i="2" l="1"/>
  <c r="K125" i="2" s="1"/>
  <c r="M123" i="2"/>
  <c r="K123" i="2" s="1"/>
  <c r="M117" i="2"/>
  <c r="K117" i="2" s="1"/>
  <c r="M131" i="2"/>
  <c r="P112" i="2"/>
  <c r="R112" i="2"/>
  <c r="P113" i="2"/>
  <c r="R113" i="2"/>
  <c r="P114" i="2"/>
  <c r="R114" i="2"/>
  <c r="U39" i="1"/>
  <c r="H39" i="1" s="1"/>
  <c r="U38" i="1"/>
  <c r="H38" i="1" s="1"/>
  <c r="H158" i="2"/>
  <c r="R111" i="2"/>
  <c r="P111" i="2"/>
  <c r="M111" i="2" s="1"/>
  <c r="K111" i="2" s="1"/>
  <c r="R108" i="2"/>
  <c r="P108" i="2"/>
  <c r="R107" i="2"/>
  <c r="P107" i="2"/>
  <c r="M107" i="2" s="1"/>
  <c r="K107" i="2" s="1"/>
  <c r="R106" i="2"/>
  <c r="P106" i="2"/>
  <c r="M106" i="2"/>
  <c r="K106" i="2" s="1"/>
  <c r="R105" i="2"/>
  <c r="P105" i="2"/>
  <c r="P109" i="2"/>
  <c r="R109" i="2"/>
  <c r="P110" i="2"/>
  <c r="M110" i="2" s="1"/>
  <c r="K110" i="2" s="1"/>
  <c r="R110" i="2"/>
  <c r="M114" i="2" l="1"/>
  <c r="K114" i="2" s="1"/>
  <c r="M112" i="2"/>
  <c r="K112" i="2" s="1"/>
  <c r="K131" i="2"/>
  <c r="M113" i="2"/>
  <c r="K113" i="2" s="1"/>
  <c r="M109" i="2"/>
  <c r="K109" i="2" s="1"/>
  <c r="M105" i="2"/>
  <c r="K105" i="2" s="1"/>
  <c r="M108" i="2"/>
  <c r="K108" i="2" s="1"/>
  <c r="J50" i="8"/>
  <c r="R50" i="8" s="1"/>
  <c r="M50" i="8" s="1"/>
  <c r="J51" i="8"/>
  <c r="R51" i="8" s="1"/>
  <c r="M51" i="8" s="1"/>
  <c r="J52" i="8"/>
  <c r="R52" i="8" s="1"/>
  <c r="M52" i="8" s="1"/>
  <c r="J53" i="8"/>
  <c r="R53" i="8"/>
  <c r="M53" i="8" s="1"/>
  <c r="J54" i="8"/>
  <c r="R54" i="8" s="1"/>
  <c r="M54" i="8" s="1"/>
  <c r="J55" i="8"/>
  <c r="R104" i="2"/>
  <c r="P104" i="2"/>
  <c r="M104" i="2" s="1"/>
  <c r="K104" i="2" s="1"/>
  <c r="R103" i="2"/>
  <c r="P103" i="2"/>
  <c r="R102" i="2"/>
  <c r="P102" i="2"/>
  <c r="M102" i="2"/>
  <c r="K102" i="2" s="1"/>
  <c r="R101" i="2"/>
  <c r="P101" i="2"/>
  <c r="P97" i="2"/>
  <c r="R97" i="2"/>
  <c r="P98" i="2"/>
  <c r="M98" i="2" s="1"/>
  <c r="K98" i="2" s="1"/>
  <c r="R98" i="2"/>
  <c r="P99" i="2"/>
  <c r="R99" i="2"/>
  <c r="P100" i="2"/>
  <c r="M100" i="2" s="1"/>
  <c r="K100" i="2" s="1"/>
  <c r="R100" i="2"/>
  <c r="AM82" i="2"/>
  <c r="AK82" i="2"/>
  <c r="AH82" i="2" s="1"/>
  <c r="AF82" i="2" s="1"/>
  <c r="AM81" i="2"/>
  <c r="AH81" i="2" s="1"/>
  <c r="AF81" i="2" s="1"/>
  <c r="AK81" i="2"/>
  <c r="M101" i="2" l="1"/>
  <c r="K101" i="2" s="1"/>
  <c r="R55" i="8"/>
  <c r="M99" i="2"/>
  <c r="K99" i="2" s="1"/>
  <c r="M97" i="2"/>
  <c r="K97" i="2" s="1"/>
  <c r="M103" i="2"/>
  <c r="K103" i="2" s="1"/>
  <c r="K51" i="8"/>
  <c r="K54" i="8"/>
  <c r="K52" i="8"/>
  <c r="K50" i="8"/>
  <c r="K53" i="8"/>
  <c r="P89" i="2"/>
  <c r="R89" i="2"/>
  <c r="P90" i="2"/>
  <c r="R90" i="2"/>
  <c r="P91" i="2"/>
  <c r="R91" i="2"/>
  <c r="P92" i="2"/>
  <c r="R92" i="2"/>
  <c r="P93" i="2"/>
  <c r="R93" i="2"/>
  <c r="P94" i="2"/>
  <c r="R94" i="2"/>
  <c r="P95" i="2"/>
  <c r="R95" i="2"/>
  <c r="P85" i="2"/>
  <c r="R85" i="2"/>
  <c r="P86" i="2"/>
  <c r="R86" i="2"/>
  <c r="P87" i="2"/>
  <c r="R87" i="2"/>
  <c r="P88" i="2"/>
  <c r="R88" i="2"/>
  <c r="M55" i="8" l="1"/>
  <c r="K55" i="8" s="1"/>
  <c r="M87" i="2"/>
  <c r="K87" i="2" s="1"/>
  <c r="M85" i="2"/>
  <c r="K85" i="2" s="1"/>
  <c r="M94" i="2"/>
  <c r="K94" i="2" s="1"/>
  <c r="M92" i="2"/>
  <c r="K92" i="2" s="1"/>
  <c r="M90" i="2"/>
  <c r="K90" i="2" s="1"/>
  <c r="M86" i="2"/>
  <c r="K86" i="2" s="1"/>
  <c r="M93" i="2"/>
  <c r="K93" i="2" s="1"/>
  <c r="M95" i="2"/>
  <c r="M89" i="2"/>
  <c r="K89" i="2" s="1"/>
  <c r="M88" i="2"/>
  <c r="K88" i="2" s="1"/>
  <c r="M91" i="2"/>
  <c r="K91" i="2" s="1"/>
  <c r="J43" i="8"/>
  <c r="J45" i="8"/>
  <c r="R45" i="8" s="1"/>
  <c r="M45" i="8" s="1"/>
  <c r="K45" i="8" s="1"/>
  <c r="J46" i="8"/>
  <c r="R46" i="8" s="1"/>
  <c r="M46" i="8" s="1"/>
  <c r="K46" i="8" s="1"/>
  <c r="J47" i="8"/>
  <c r="R47" i="8" s="1"/>
  <c r="M47" i="8" s="1"/>
  <c r="K47" i="8" s="1"/>
  <c r="J48" i="8"/>
  <c r="R48" i="8" s="1"/>
  <c r="M48" i="8" s="1"/>
  <c r="K48" i="8" s="1"/>
  <c r="J49" i="8"/>
  <c r="R49" i="8" s="1"/>
  <c r="M49" i="8" s="1"/>
  <c r="K49" i="8" s="1"/>
  <c r="J44" i="8"/>
  <c r="R44" i="8" s="1"/>
  <c r="M44" i="8" s="1"/>
  <c r="P76" i="2"/>
  <c r="R76" i="2"/>
  <c r="P77" i="2"/>
  <c r="R77" i="2"/>
  <c r="P78" i="2"/>
  <c r="R78" i="2"/>
  <c r="P79" i="2"/>
  <c r="R79" i="2"/>
  <c r="P80" i="2"/>
  <c r="R80" i="2"/>
  <c r="P81" i="2"/>
  <c r="R81" i="2"/>
  <c r="P82" i="2"/>
  <c r="R82" i="2"/>
  <c r="P83" i="2"/>
  <c r="R83" i="2"/>
  <c r="P84" i="2"/>
  <c r="R84" i="2"/>
  <c r="P96" i="2"/>
  <c r="R96" i="2"/>
  <c r="P75" i="2"/>
  <c r="R75" i="2"/>
  <c r="P61" i="2"/>
  <c r="R61" i="2"/>
  <c r="P62" i="2"/>
  <c r="R62" i="2"/>
  <c r="P63" i="2"/>
  <c r="R63" i="2"/>
  <c r="P64" i="2"/>
  <c r="R64" i="2"/>
  <c r="P65" i="2"/>
  <c r="R65" i="2"/>
  <c r="P66" i="2"/>
  <c r="R66" i="2"/>
  <c r="P67" i="2"/>
  <c r="R67" i="2"/>
  <c r="P68" i="2"/>
  <c r="R68" i="2"/>
  <c r="P69" i="2"/>
  <c r="R69" i="2"/>
  <c r="P70" i="2"/>
  <c r="R70" i="2"/>
  <c r="P71" i="2"/>
  <c r="R71" i="2"/>
  <c r="P72" i="2"/>
  <c r="R72" i="2"/>
  <c r="P73" i="2"/>
  <c r="R73" i="2"/>
  <c r="P74" i="2"/>
  <c r="R74" i="2"/>
  <c r="P59" i="2"/>
  <c r="R59" i="2"/>
  <c r="P60" i="2"/>
  <c r="R60" i="2"/>
  <c r="K95" i="2" l="1"/>
  <c r="M74" i="2"/>
  <c r="K74" i="2" s="1"/>
  <c r="M68" i="2"/>
  <c r="K68" i="2" s="1"/>
  <c r="M66" i="2"/>
  <c r="K66" i="2" s="1"/>
  <c r="M64" i="2"/>
  <c r="K64" i="2" s="1"/>
  <c r="M75" i="2"/>
  <c r="K75" i="2" s="1"/>
  <c r="M96" i="2"/>
  <c r="K96" i="2" s="1"/>
  <c r="M84" i="2"/>
  <c r="K84" i="2" s="1"/>
  <c r="M82" i="2"/>
  <c r="K82" i="2" s="1"/>
  <c r="M80" i="2"/>
  <c r="K80" i="2" s="1"/>
  <c r="M78" i="2"/>
  <c r="K78" i="2" s="1"/>
  <c r="M72" i="2"/>
  <c r="K72" i="2" s="1"/>
  <c r="M62" i="2"/>
  <c r="K62" i="2" s="1"/>
  <c r="M83" i="2"/>
  <c r="K83" i="2" s="1"/>
  <c r="M81" i="2"/>
  <c r="K81" i="2" s="1"/>
  <c r="M79" i="2"/>
  <c r="K79" i="2" s="1"/>
  <c r="M77" i="2"/>
  <c r="K77" i="2" s="1"/>
  <c r="R43" i="8"/>
  <c r="M43" i="8" s="1"/>
  <c r="K43" i="8" s="1"/>
  <c r="K44" i="8"/>
  <c r="M76" i="2"/>
  <c r="K76" i="2" s="1"/>
  <c r="M60" i="2"/>
  <c r="K60" i="2" s="1"/>
  <c r="M73" i="2"/>
  <c r="K73" i="2" s="1"/>
  <c r="M71" i="2"/>
  <c r="K71" i="2" s="1"/>
  <c r="M67" i="2"/>
  <c r="K67" i="2" s="1"/>
  <c r="M65" i="2"/>
  <c r="K65" i="2" s="1"/>
  <c r="M63" i="2"/>
  <c r="K63" i="2" s="1"/>
  <c r="M61" i="2"/>
  <c r="K61" i="2" s="1"/>
  <c r="M59" i="2"/>
  <c r="K59" i="2" s="1"/>
  <c r="M70" i="2"/>
  <c r="K70" i="2" s="1"/>
  <c r="M69" i="2"/>
  <c r="K69" i="2" s="1"/>
  <c r="P52" i="2" l="1"/>
  <c r="R52" i="2"/>
  <c r="P53" i="2"/>
  <c r="R53" i="2"/>
  <c r="P54" i="2"/>
  <c r="R54" i="2"/>
  <c r="P55" i="2"/>
  <c r="R55" i="2"/>
  <c r="P56" i="2"/>
  <c r="R56" i="2"/>
  <c r="P57" i="2"/>
  <c r="R57" i="2"/>
  <c r="P58" i="2"/>
  <c r="R58" i="2"/>
  <c r="M57" i="2" l="1"/>
  <c r="K57" i="2" s="1"/>
  <c r="M55" i="2"/>
  <c r="K55" i="2" s="1"/>
  <c r="M58" i="2"/>
  <c r="K58" i="2" s="1"/>
  <c r="M56" i="2"/>
  <c r="K56" i="2" s="1"/>
  <c r="M54" i="2"/>
  <c r="K54" i="2" s="1"/>
  <c r="M52" i="2"/>
  <c r="K52" i="2" s="1"/>
  <c r="M53" i="2"/>
  <c r="K53" i="2" s="1"/>
  <c r="R33" i="2"/>
  <c r="N33" i="2"/>
  <c r="U37" i="1"/>
  <c r="H37" i="1" s="1"/>
  <c r="N46" i="2" l="1"/>
  <c r="P46" i="2"/>
  <c r="R46" i="2"/>
  <c r="P37" i="2"/>
  <c r="R37" i="2"/>
  <c r="P35" i="2"/>
  <c r="M46" i="2" l="1"/>
  <c r="K46" i="2" s="1"/>
  <c r="M37" i="2"/>
  <c r="K37" i="2" s="1"/>
  <c r="U36" i="1" l="1"/>
  <c r="H36" i="1" s="1"/>
  <c r="U35" i="1"/>
  <c r="H35" i="1" s="1"/>
  <c r="U32" i="1" l="1"/>
  <c r="H32" i="1" s="1"/>
  <c r="U33" i="1"/>
  <c r="H33" i="1" s="1"/>
  <c r="U34" i="1"/>
  <c r="H34" i="1" s="1"/>
  <c r="U30" i="1" l="1"/>
  <c r="J36" i="8"/>
  <c r="R36" i="8" s="1"/>
  <c r="M36" i="8" s="1"/>
  <c r="H30" i="1" l="1"/>
  <c r="K36" i="8"/>
  <c r="J30" i="8"/>
  <c r="J31" i="8" l="1"/>
  <c r="N42" i="2" l="1"/>
  <c r="P42" i="2"/>
  <c r="R42" i="2"/>
  <c r="M42" i="2" l="1"/>
  <c r="K42" i="2" s="1"/>
  <c r="P50" i="2" l="1"/>
  <c r="R50" i="2"/>
  <c r="N41" i="2"/>
  <c r="P41" i="2"/>
  <c r="R41" i="2"/>
  <c r="R29" i="2"/>
  <c r="M50" i="2" l="1"/>
  <c r="K50" i="2" s="1"/>
  <c r="M41" i="2"/>
  <c r="K41" i="2" s="1"/>
  <c r="R31" i="8" l="1"/>
  <c r="M31" i="8" s="1"/>
  <c r="K31" i="8" s="1"/>
  <c r="J32" i="8"/>
  <c r="J33" i="8"/>
  <c r="R33" i="8" s="1"/>
  <c r="M33" i="8" s="1"/>
  <c r="K33" i="8" s="1"/>
  <c r="J34" i="8"/>
  <c r="R34" i="8" s="1"/>
  <c r="M34" i="8" s="1"/>
  <c r="K34" i="8" s="1"/>
  <c r="J35" i="8"/>
  <c r="R35" i="8" s="1"/>
  <c r="M35" i="8" s="1"/>
  <c r="K35" i="8" s="1"/>
  <c r="J37" i="8"/>
  <c r="R37" i="8" s="1"/>
  <c r="M37" i="8" s="1"/>
  <c r="K37" i="8" s="1"/>
  <c r="J38" i="8"/>
  <c r="R38" i="8" s="1"/>
  <c r="M38" i="8" s="1"/>
  <c r="K38" i="8" s="1"/>
  <c r="J39" i="8"/>
  <c r="R39" i="8" s="1"/>
  <c r="M39" i="8" s="1"/>
  <c r="K39" i="8" s="1"/>
  <c r="J40" i="8"/>
  <c r="R40" i="8" s="1"/>
  <c r="M40" i="8" s="1"/>
  <c r="K40" i="8" s="1"/>
  <c r="J41" i="8"/>
  <c r="R41" i="8" s="1"/>
  <c r="M41" i="8" s="1"/>
  <c r="K41" i="8" s="1"/>
  <c r="J42" i="8"/>
  <c r="R42" i="8" s="1"/>
  <c r="M42" i="8" s="1"/>
  <c r="K42" i="8" s="1"/>
  <c r="R32" i="8" l="1"/>
  <c r="M32" i="8" s="1"/>
  <c r="K32" i="8" s="1"/>
  <c r="R30" i="8"/>
  <c r="M30" i="8" s="1"/>
  <c r="K30" i="8" s="1"/>
  <c r="N35" i="2" l="1"/>
  <c r="R35" i="2"/>
  <c r="P36" i="2"/>
  <c r="R36" i="2"/>
  <c r="N38" i="2"/>
  <c r="P38" i="2"/>
  <c r="R38" i="2"/>
  <c r="P39" i="2"/>
  <c r="R39" i="2"/>
  <c r="N40" i="2"/>
  <c r="P40" i="2"/>
  <c r="R40" i="2"/>
  <c r="P43" i="2"/>
  <c r="R43" i="2"/>
  <c r="P44" i="2"/>
  <c r="R44" i="2"/>
  <c r="N45" i="2"/>
  <c r="P45" i="2"/>
  <c r="R45" i="2"/>
  <c r="P47" i="2"/>
  <c r="R47" i="2"/>
  <c r="N48" i="2"/>
  <c r="P48" i="2"/>
  <c r="R48" i="2"/>
  <c r="P49" i="2"/>
  <c r="R49" i="2"/>
  <c r="P51" i="2"/>
  <c r="R51" i="2"/>
  <c r="U29" i="1"/>
  <c r="N158" i="2" l="1"/>
  <c r="M43" i="2"/>
  <c r="K43" i="2" s="1"/>
  <c r="M38" i="2"/>
  <c r="K38" i="2" s="1"/>
  <c r="M35" i="2"/>
  <c r="M51" i="2"/>
  <c r="K51" i="2" s="1"/>
  <c r="M47" i="2"/>
  <c r="K47" i="2" s="1"/>
  <c r="M36" i="2"/>
  <c r="K36" i="2" s="1"/>
  <c r="M44" i="2"/>
  <c r="K44" i="2" s="1"/>
  <c r="M45" i="2"/>
  <c r="K45" i="2" s="1"/>
  <c r="M49" i="2"/>
  <c r="K49" i="2" s="1"/>
  <c r="M48" i="2"/>
  <c r="K48" i="2" s="1"/>
  <c r="M39" i="2"/>
  <c r="K39" i="2" s="1"/>
  <c r="M40" i="2"/>
  <c r="K40" i="2" s="1"/>
  <c r="C35" i="5"/>
  <c r="K39" i="4"/>
  <c r="H39" i="4" s="1"/>
  <c r="J29" i="8" l="1"/>
  <c r="R29" i="8" l="1"/>
  <c r="R74" i="8" s="1"/>
  <c r="K38" i="4"/>
  <c r="H38" i="4" s="1"/>
  <c r="H61" i="4" s="1"/>
  <c r="C54" i="5"/>
  <c r="C38" i="5" s="1"/>
  <c r="M29" i="8" l="1"/>
  <c r="K29" i="8" s="1"/>
  <c r="K74" i="8" s="1"/>
  <c r="D54" i="5"/>
  <c r="X67" i="1"/>
  <c r="W67" i="1"/>
  <c r="J6" i="4" l="1"/>
  <c r="N5" i="3"/>
  <c r="B14" i="5"/>
  <c r="B8" i="5"/>
  <c r="R30" i="2"/>
  <c r="R31" i="2"/>
  <c r="R32" i="2"/>
  <c r="R34" i="2"/>
  <c r="P33" i="2"/>
  <c r="P34" i="2"/>
  <c r="R158" i="2" l="1"/>
  <c r="M33" i="2"/>
  <c r="K33" i="2" s="1"/>
  <c r="M34" i="2"/>
  <c r="K34" i="2" s="1"/>
  <c r="P29" i="2"/>
  <c r="P32" i="2"/>
  <c r="M29" i="2" l="1"/>
  <c r="M32" i="2"/>
  <c r="K32" i="2" s="1"/>
  <c r="K29" i="2" l="1"/>
  <c r="P30" i="2"/>
  <c r="M30" i="2" l="1"/>
  <c r="M158" i="2" s="1"/>
  <c r="C47" i="5"/>
  <c r="P31" i="2"/>
  <c r="M31" i="2" s="1"/>
  <c r="K31" i="2" s="1"/>
  <c r="C46" i="5"/>
  <c r="D46" i="5" s="1"/>
  <c r="G6" i="4"/>
  <c r="G8" i="4"/>
  <c r="G11" i="4"/>
  <c r="G13" i="4"/>
  <c r="C45" i="5"/>
  <c r="D45" i="5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P158" i="2" l="1"/>
  <c r="K30" i="2"/>
  <c r="K158" i="2" s="1"/>
  <c r="C44" i="5"/>
  <c r="B255" i="6"/>
  <c r="B258" i="6" s="1"/>
  <c r="D47" i="5"/>
  <c r="F61" i="4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D44" i="5" l="1"/>
  <c r="D38" i="5"/>
  <c r="B78" i="6"/>
  <c r="R23" i="2" s="1"/>
  <c r="P23" i="2"/>
  <c r="V43" i="1" l="1"/>
  <c r="H43" i="1" l="1"/>
  <c r="V47" i="1"/>
  <c r="H47" i="1" s="1"/>
  <c r="V46" i="1"/>
  <c r="H46" i="1" s="1"/>
  <c r="V45" i="1"/>
  <c r="H45" i="1" s="1"/>
  <c r="V52" i="1"/>
  <c r="H52" i="1" s="1"/>
  <c r="V61" i="1"/>
  <c r="H61" i="1" s="1"/>
  <c r="V62" i="1"/>
  <c r="H62" i="1" s="1"/>
  <c r="V56" i="1"/>
  <c r="H56" i="1" s="1"/>
  <c r="V64" i="1"/>
  <c r="H64" i="1" s="1"/>
  <c r="V50" i="1"/>
  <c r="H50" i="1" s="1"/>
  <c r="V63" i="1"/>
  <c r="H63" i="1" s="1"/>
  <c r="V53" i="1"/>
  <c r="H53" i="1" s="1"/>
  <c r="V55" i="1"/>
  <c r="H55" i="1" s="1"/>
  <c r="V60" i="1"/>
  <c r="H60" i="1" s="1"/>
  <c r="V49" i="1"/>
  <c r="H49" i="1" s="1"/>
  <c r="V57" i="1"/>
  <c r="H57" i="1" s="1"/>
  <c r="V59" i="1"/>
  <c r="H59" i="1" s="1"/>
  <c r="V48" i="1"/>
  <c r="H48" i="1" s="1"/>
  <c r="U67" i="1"/>
  <c r="C30" i="5" s="1"/>
  <c r="C28" i="5" s="1"/>
  <c r="C16" i="5" s="1"/>
  <c r="V58" i="1"/>
  <c r="H58" i="1" s="1"/>
  <c r="V54" i="1"/>
  <c r="H54" i="1" s="1"/>
  <c r="V51" i="1"/>
  <c r="V65" i="1"/>
  <c r="H65" i="1" s="1"/>
  <c r="V67" i="1" l="1"/>
  <c r="D30" i="5" s="1"/>
  <c r="H45" i="5" s="1"/>
  <c r="H51" i="1"/>
  <c r="D28" i="5" l="1"/>
  <c r="D60" i="5" s="1"/>
  <c r="D62" i="5" s="1"/>
</calcChain>
</file>

<file path=xl/sharedStrings.xml><?xml version="1.0" encoding="utf-8"?>
<sst xmlns="http://schemas.openxmlformats.org/spreadsheetml/2006/main" count="1285" uniqueCount="769">
  <si>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</si>
  <si>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</si>
  <si>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</si>
  <si>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</si>
  <si>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</si>
  <si>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</si>
  <si>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</si>
  <si>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</si>
  <si>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</si>
  <si>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</si>
  <si>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</si>
  <si>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</si>
  <si>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</si>
  <si>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</si>
  <si>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</si>
  <si>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</si>
  <si>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</si>
  <si>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</si>
  <si>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</si>
  <si>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</si>
  <si>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</si>
  <si>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</si>
  <si>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</si>
  <si>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</si>
  <si>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</si>
  <si>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</si>
  <si>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</si>
  <si>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</si>
  <si>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</si>
  <si>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</si>
  <si>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</si>
  <si>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</si>
  <si>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</si>
  <si>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</si>
  <si>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</si>
  <si>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</si>
  <si>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</si>
  <si>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</si>
  <si>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</si>
  <si>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</si>
  <si>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</si>
  <si>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</si>
  <si>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</si>
  <si>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</si>
  <si>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</si>
  <si>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</si>
  <si>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</si>
  <si>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</si>
  <si>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</si>
  <si>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</si>
  <si>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</si>
  <si>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</si>
  <si>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</si>
  <si>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</si>
  <si>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</si>
  <si>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</si>
  <si>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</si>
  <si>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</si>
  <si>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</si>
  <si>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</si>
  <si>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</si>
  <si>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</si>
  <si>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</si>
  <si>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</si>
  <si>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</si>
  <si>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</si>
  <si>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</si>
  <si>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</si>
  <si>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</si>
  <si>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</si>
  <si>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</si>
  <si>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</si>
  <si>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</si>
  <si>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</si>
  <si>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</si>
  <si>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</si>
  <si>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</si>
  <si>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</si>
  <si>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</si>
  <si>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</si>
  <si>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</si>
  <si>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</si>
  <si>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</si>
  <si>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</si>
  <si>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</si>
  <si>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</si>
  <si>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</si>
  <si>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</si>
  <si>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</si>
  <si>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</si>
  <si>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</si>
  <si>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</si>
  <si>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</si>
  <si>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</si>
  <si>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</si>
  <si>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</si>
  <si>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</si>
  <si>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</si>
  <si>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</si>
  <si>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</si>
  <si>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</si>
  <si>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</si>
  <si>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</si>
  <si>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</si>
  <si>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</si>
  <si>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</si>
  <si>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</si>
  <si>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</si>
  <si>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</si>
  <si>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</si>
  <si>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</si>
  <si>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</si>
  <si>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</si>
  <si>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</si>
  <si>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</si>
  <si>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</si>
  <si>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</si>
  <si>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</si>
  <si>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</si>
  <si>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</si>
  <si>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</si>
  <si>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</si>
  <si>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</si>
  <si>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</si>
  <si>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</si>
  <si>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</si>
  <si>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</si>
  <si>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</si>
  <si>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</si>
  <si>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</si>
  <si>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</si>
  <si>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</si>
  <si>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</si>
  <si>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</si>
  <si>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</si>
  <si>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</si>
  <si>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</si>
  <si>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</si>
  <si>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</si>
  <si>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</si>
  <si>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</si>
  <si>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</si>
  <si>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</si>
  <si>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</si>
  <si>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</si>
  <si>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</si>
  <si>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</si>
  <si>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</si>
  <si>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</si>
  <si>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</si>
  <si>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</si>
  <si>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</si>
  <si>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</si>
  <si>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</si>
  <si>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</si>
  <si>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</si>
  <si>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</si>
  <si>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</si>
  <si>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</si>
  <si>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</si>
  <si>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</si>
  <si>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</si>
  <si>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</si>
  <si>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</si>
  <si>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</si>
  <si>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</si>
  <si>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</si>
  <si>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</si>
  <si>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</si>
  <si>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</si>
  <si>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</si>
  <si>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</si>
  <si>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</si>
  <si>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</si>
  <si>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</si>
  <si>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</si>
  <si>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</si>
  <si>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</si>
  <si>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</si>
  <si>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</si>
  <si>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</si>
  <si>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</si>
  <si>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</si>
  <si>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</si>
  <si>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</si>
  <si>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</si>
  <si>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</si>
  <si>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</si>
  <si>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</si>
  <si>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</si>
  <si>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</si>
  <si>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</si>
  <si>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</si>
  <si>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</si>
  <si>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</si>
  <si>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</si>
  <si>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</si>
  <si>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</si>
  <si>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</si>
  <si>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</si>
  <si>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</si>
  <si>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</si>
  <si>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</si>
  <si>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</si>
  <si>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</si>
  <si>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</si>
  <si>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</si>
  <si>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</si>
  <si>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</si>
  <si>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</si>
  <si>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</si>
  <si>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</si>
  <si>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</si>
  <si>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</si>
  <si>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</si>
  <si>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</si>
  <si>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</si>
  <si>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</si>
  <si>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</si>
  <si>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</si>
  <si>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</si>
  <si>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</si>
  <si>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</si>
  <si>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</si>
  <si>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</si>
  <si>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</si>
  <si>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</si>
  <si>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</si>
  <si>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</si>
  <si>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</si>
  <si>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</si>
  <si>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</si>
  <si>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</si>
  <si>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</si>
  <si>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</si>
  <si>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</si>
  <si>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</si>
  <si>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</si>
  <si>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</si>
  <si>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</si>
  <si>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</si>
  <si>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</si>
  <si>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</si>
  <si>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</si>
  <si>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</si>
  <si>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</si>
  <si>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</si>
  <si>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</si>
  <si>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</si>
  <si>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</si>
  <si>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</si>
  <si>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</si>
  <si>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</si>
  <si>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</si>
  <si>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</si>
  <si>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</si>
  <si>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</si>
  <si>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</si>
  <si>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</si>
  <si>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</si>
  <si>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</si>
  <si>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</si>
  <si>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</si>
  <si>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</si>
  <si>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</si>
  <si>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</si>
  <si>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</si>
  <si>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</si>
  <si>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</si>
  <si>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</si>
  <si>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</si>
  <si>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</si>
  <si>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</si>
  <si>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</si>
  <si>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</si>
  <si>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</si>
  <si>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</si>
  <si>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</si>
  <si>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</si>
  <si>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</si>
  <si>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</si>
  <si>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</si>
  <si>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</si>
  <si>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</si>
  <si>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</si>
  <si>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</si>
  <si>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</si>
  <si>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</si>
  <si>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</si>
  <si>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</si>
  <si>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</si>
  <si>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</si>
  <si>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</si>
  <si>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</si>
  <si>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</si>
  <si>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</si>
  <si>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</si>
  <si>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</si>
  <si>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</si>
  <si>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</si>
  <si>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</si>
  <si>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</si>
  <si>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</si>
  <si>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</si>
  <si>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</si>
  <si>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</si>
  <si>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</si>
  <si>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</si>
  <si>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</si>
  <si>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</si>
  <si>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</si>
  <si>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</si>
  <si>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</si>
  <si>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</si>
  <si>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</si>
  <si>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</si>
  <si>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</si>
  <si>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</si>
  <si>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</si>
  <si>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</si>
  <si>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</si>
  <si>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</si>
  <si>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</si>
  <si>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</si>
  <si>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</si>
  <si>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</si>
  <si>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</si>
  <si>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</si>
  <si>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</si>
  <si>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</si>
  <si>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</si>
  <si>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</si>
  <si>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</si>
  <si>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</si>
  <si>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</si>
  <si>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</si>
  <si>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</si>
  <si>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</si>
  <si>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</si>
  <si>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</si>
  <si>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</si>
  <si>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</si>
  <si>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</si>
  <si>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</si>
  <si>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</si>
  <si>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</si>
  <si>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</si>
  <si>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</si>
  <si>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</si>
  <si>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</si>
  <si>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</si>
  <si>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</si>
  <si>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</si>
  <si>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</si>
  <si>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</si>
  <si>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</si>
  <si>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</si>
  <si>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</si>
  <si>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</si>
  <si>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</si>
  <si>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</si>
  <si>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</si>
  <si>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</si>
  <si>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</si>
  <si>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</si>
  <si>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</si>
  <si>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</si>
  <si>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</si>
  <si>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</si>
  <si>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</si>
  <si>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</si>
  <si>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</si>
  <si>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</si>
  <si>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</si>
  <si>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</si>
  <si>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</si>
  <si>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</si>
  <si>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</si>
  <si>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</si>
  <si>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</si>
  <si>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</si>
  <si>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</si>
  <si>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</si>
  <si>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</si>
  <si>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</si>
  <si>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</si>
  <si>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</si>
  <si>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</si>
  <si>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</si>
  <si>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</si>
  <si>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</si>
  <si>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</si>
  <si>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</si>
  <si>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</si>
  <si>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</si>
  <si>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</si>
  <si>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</si>
  <si>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</si>
  <si>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</si>
  <si>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</si>
  <si>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</si>
  <si>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</si>
  <si>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</si>
  <si>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</si>
  <si>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</si>
  <si>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</si>
  <si>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</si>
  <si>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</si>
  <si>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</si>
  <si>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</si>
  <si>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</si>
  <si>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</si>
  <si>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</si>
  <si>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</si>
  <si>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</si>
  <si>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</si>
  <si>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</si>
  <si>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</si>
  <si>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</si>
  <si>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</si>
  <si>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</si>
  <si>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</si>
  <si>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</si>
  <si>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</si>
  <si>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</si>
  <si>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</si>
  <si>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</si>
  <si>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</si>
  <si>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</si>
  <si>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</si>
  <si>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</si>
  <si>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</si>
  <si>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</si>
  <si>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</si>
  <si>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</si>
  <si>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</si>
  <si>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</si>
  <si>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</si>
  <si>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</si>
  <si>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</si>
  <si>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</si>
  <si>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</si>
  <si>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</si>
  <si>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</si>
  <si>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</si>
  <si>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</si>
  <si>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</si>
  <si>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</si>
  <si>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</si>
  <si>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</si>
  <si>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</si>
  <si>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</si>
  <si>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</si>
  <si>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</si>
  <si>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</si>
  <si>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</si>
  <si>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</si>
  <si>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</si>
  <si>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</si>
  <si>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</si>
  <si>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</si>
  <si>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</si>
  <si>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</si>
  <si>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</si>
  <si>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</si>
  <si>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</si>
  <si>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</si>
  <si>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</si>
  <si>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</si>
  <si>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</si>
  <si>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</si>
  <si>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</si>
  <si>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</si>
  <si>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</si>
  <si>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</si>
  <si>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</si>
  <si>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</si>
  <si>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</si>
  <si>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</si>
  <si>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</si>
  <si>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</si>
  <si>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</si>
  <si>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</si>
  <si>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</si>
  <si>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</si>
  <si>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</si>
  <si>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</si>
  <si>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</si>
  <si>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</si>
  <si>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</si>
  <si>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</si>
  <si>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</si>
  <si>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</si>
  <si>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</si>
  <si>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</si>
  <si>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</si>
  <si>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</si>
  <si>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</si>
  <si>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</si>
  <si>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</si>
  <si>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</si>
  <si>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</si>
  <si>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</si>
  <si>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</si>
  <si>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</si>
  <si>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</si>
  <si>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</si>
  <si>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</si>
  <si>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</si>
  <si>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</si>
  <si>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</si>
  <si>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</si>
  <si>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</si>
  <si>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</si>
  <si>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</si>
  <si>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</si>
  <si>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</si>
  <si>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</si>
  <si>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</si>
  <si>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</si>
  <si>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</si>
  <si>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</si>
  <si>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</si>
  <si>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</si>
  <si>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</si>
  <si>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</si>
  <si>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</si>
  <si>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</si>
  <si>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</si>
  <si>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</si>
  <si>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</si>
  <si>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</si>
  <si>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</si>
  <si>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</si>
  <si>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</si>
  <si>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</si>
  <si>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</si>
  <si>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</si>
  <si>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</si>
  <si>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</si>
  <si>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</si>
  <si>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</si>
  <si>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</si>
  <si>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</si>
  <si>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</si>
  <si>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</si>
  <si>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</si>
  <si>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</si>
  <si>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</si>
  <si>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</si>
  <si>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</si>
  <si>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</si>
  <si>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</si>
  <si>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</si>
  <si>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</si>
  <si>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</si>
  <si>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</si>
  <si>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</si>
  <si>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</si>
  <si>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</si>
  <si>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</si>
  <si>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</si>
  <si>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</si>
  <si>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</si>
  <si>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</si>
  <si>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</si>
  <si>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</si>
  <si>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</si>
  <si>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</si>
  <si>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</si>
  <si>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</si>
  <si>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</si>
  <si>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</si>
  <si>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</si>
  <si>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</si>
  <si>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</si>
  <si>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</si>
  <si>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</si>
  <si>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</si>
  <si>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</si>
  <si>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</si>
  <si>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</si>
  <si>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</si>
  <si>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</si>
  <si>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</si>
  <si>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</si>
  <si>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</si>
  <si>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Crno Vrilo d.o.o.</t>
  </si>
  <si>
    <t>Vegium d.o.o.</t>
  </si>
  <si>
    <t>LeitnerLeitner Consulting d.o.o.</t>
  </si>
  <si>
    <t>Nr. Pdf</t>
  </si>
  <si>
    <t>7/2020</t>
  </si>
  <si>
    <t>DAN</t>
  </si>
  <si>
    <t>tečaj</t>
  </si>
  <si>
    <t>Heinzelova 70, 10000 Zagreb</t>
  </si>
  <si>
    <t>Obala V. Nazora 7, 53288 Karlobag</t>
  </si>
  <si>
    <t>NL805734958B01</t>
  </si>
  <si>
    <t>HRK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</si>
  <si>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</si>
  <si>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</si>
  <si>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</si>
  <si>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</si>
  <si>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</si>
  <si>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</si>
  <si>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</si>
  <si>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</si>
  <si>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</si>
  <si>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Obala V. Nazora 7/1, 53288 Karlobag</t>
  </si>
  <si>
    <t>HEP Elektra d.o.o.</t>
  </si>
  <si>
    <t>Ulica grada Vukovara 37, Zagreb</t>
  </si>
  <si>
    <t>83.1</t>
  </si>
  <si>
    <t>157/PP1/1</t>
  </si>
  <si>
    <t>Desjoyaux Bazeni</t>
  </si>
  <si>
    <t>Ulica grada Vukovara 226, Zagreb</t>
  </si>
  <si>
    <t>556/PP1/1</t>
  </si>
  <si>
    <t>booking.com</t>
  </si>
  <si>
    <t>Herengracht 597, 1017 Amsterdam</t>
  </si>
  <si>
    <t>23-2018</t>
  </si>
  <si>
    <t>VSL KG</t>
  </si>
  <si>
    <t>Poigen 82</t>
  </si>
  <si>
    <t>ATU78104908</t>
  </si>
  <si>
    <t>2203277403</t>
  </si>
  <si>
    <t>2203277517</t>
  </si>
  <si>
    <t>2203277404</t>
  </si>
  <si>
    <t>2205443</t>
  </si>
  <si>
    <t>EUROHERC</t>
  </si>
  <si>
    <t>Riva 8, 51000 Rijeka</t>
  </si>
  <si>
    <t>2923-LLC-360</t>
  </si>
  <si>
    <t>18902-11230</t>
  </si>
  <si>
    <t>18929-11230</t>
  </si>
  <si>
    <t>18910-11235</t>
  </si>
  <si>
    <t>6300114795-290-4</t>
  </si>
  <si>
    <t>Hrvatski Telekomm d.d.</t>
  </si>
  <si>
    <t>Radnicka cesta 21, 10135 Zagreb</t>
  </si>
  <si>
    <t>2203282605</t>
  </si>
  <si>
    <t>3248-LLC-360</t>
  </si>
  <si>
    <t>18902-12237</t>
  </si>
  <si>
    <t>18910-12231</t>
  </si>
  <si>
    <t>18929-12236</t>
  </si>
  <si>
    <t>18902-1241</t>
  </si>
  <si>
    <t>18910-1245</t>
  </si>
  <si>
    <t>18929-1249</t>
  </si>
  <si>
    <t>3568-LLC-360</t>
  </si>
  <si>
    <t>107-1123</t>
  </si>
  <si>
    <t>Hennerbichler-Einfalt Theresa</t>
  </si>
  <si>
    <t>108-424</t>
  </si>
  <si>
    <t>Jozef Olgyai</t>
  </si>
  <si>
    <t>Hygi.de GmbH</t>
  </si>
  <si>
    <t>48283 Telgte</t>
  </si>
  <si>
    <t>DE257224517</t>
  </si>
  <si>
    <t>18902-2248</t>
  </si>
  <si>
    <t>18929-2245</t>
  </si>
  <si>
    <t>18910-2241</t>
  </si>
  <si>
    <t>116-LLC-360</t>
  </si>
  <si>
    <t>TFFGJ5SP-2024-01</t>
  </si>
  <si>
    <t>stripe payments Europe</t>
  </si>
  <si>
    <t>Dublin</t>
  </si>
  <si>
    <t>IE3206488LH</t>
  </si>
  <si>
    <t>24-01837</t>
  </si>
  <si>
    <t>WHAT event GmbH</t>
  </si>
  <si>
    <t>Wienerstr., 3730 Eggenburg</t>
  </si>
  <si>
    <t>ATU70343014</t>
  </si>
  <si>
    <t>Leiner&amp;kika GmbH</t>
  </si>
  <si>
    <t>Wienerstr., 3500 Krems</t>
  </si>
  <si>
    <t>ATU68711888</t>
  </si>
  <si>
    <t>88924-607-600</t>
  </si>
  <si>
    <t>Hrvatske autoceste d.o.o.</t>
  </si>
  <si>
    <t>Ulica stjepana Sirole, Zagreb</t>
  </si>
  <si>
    <t>129523-607-600</t>
  </si>
  <si>
    <t>Wania GmbH</t>
  </si>
  <si>
    <t>Gewerbestr.1, 3623 Kottes</t>
  </si>
  <si>
    <t>ATU56902999</t>
  </si>
  <si>
    <t>RE20241082</t>
  </si>
  <si>
    <t>Werbepanorama</t>
  </si>
  <si>
    <t>Bahnstr.7, 3580 Horn</t>
  </si>
  <si>
    <t>ATU74028278</t>
  </si>
  <si>
    <t>440-LLC-360</t>
  </si>
  <si>
    <t>18929-3241</t>
  </si>
  <si>
    <t>18910-3248</t>
  </si>
  <si>
    <t>18902-3244</t>
  </si>
  <si>
    <t>TFFGJ5SP-2024-02</t>
  </si>
  <si>
    <t>24-01861</t>
  </si>
  <si>
    <t>W901-02-691240312892</t>
  </si>
  <si>
    <t>DARS Autoceste</t>
  </si>
  <si>
    <t>3000 Celje</t>
  </si>
  <si>
    <t>SI92473717</t>
  </si>
  <si>
    <t>TFFGJ5SP-2024-03</t>
  </si>
  <si>
    <t>24-01885</t>
  </si>
  <si>
    <t>Aigner und Auer</t>
  </si>
  <si>
    <t>Hauptstr. 42, 3623 Kottes</t>
  </si>
  <si>
    <t>ATU64152179</t>
  </si>
  <si>
    <t>773-LLC-360</t>
  </si>
  <si>
    <t>RLH Zwettl,</t>
  </si>
  <si>
    <t>Pater Werner Deibl 1, Zwettl</t>
  </si>
  <si>
    <t>ATU16319106</t>
  </si>
  <si>
    <t>Scubanautic</t>
  </si>
  <si>
    <t>Wienerstr. 166, St.Pölten</t>
  </si>
  <si>
    <t>ATU51256607</t>
  </si>
  <si>
    <t>6300114795-999-2</t>
  </si>
  <si>
    <t>18902-5247</t>
  </si>
  <si>
    <t>18929-5244</t>
  </si>
  <si>
    <t>18910-5240</t>
  </si>
  <si>
    <t>1104-LLC-360</t>
  </si>
  <si>
    <t>18902-4240</t>
  </si>
  <si>
    <t>18910-4244</t>
  </si>
  <si>
    <t>18929-4248</t>
  </si>
  <si>
    <t>1264-202</t>
  </si>
  <si>
    <t>Zeller Christian</t>
  </si>
  <si>
    <t>3522 Lichtenau 96</t>
  </si>
  <si>
    <t>ATU72841008</t>
  </si>
  <si>
    <t>Sonnentor KräutergmbH</t>
  </si>
  <si>
    <t>3913 Sprögnitz 10</t>
  </si>
  <si>
    <t>ATU38904708</t>
  </si>
  <si>
    <t>109-524</t>
  </si>
  <si>
    <t>Christina Groißböck-Foramitti</t>
  </si>
  <si>
    <t>Thomas Stiegler</t>
  </si>
  <si>
    <t>110-524</t>
  </si>
  <si>
    <t>6300114795-297-1</t>
  </si>
  <si>
    <t>1432-LLC-360</t>
  </si>
  <si>
    <t>18902-6243</t>
  </si>
  <si>
    <t>111-624</t>
  </si>
  <si>
    <t>112-624</t>
  </si>
  <si>
    <t>113-624</t>
  </si>
  <si>
    <t>114-624</t>
  </si>
  <si>
    <t>115-624</t>
  </si>
  <si>
    <t>Grzyb Tomasz</t>
  </si>
  <si>
    <t>Sekutowitcz Marcin</t>
  </si>
  <si>
    <t>Auer Josef</t>
  </si>
  <si>
    <t xml:space="preserve">Fertl </t>
  </si>
  <si>
    <t>Paminger Bettina</t>
  </si>
  <si>
    <t>TFFGJ5SP-2024-05</t>
  </si>
  <si>
    <t>531/00000030</t>
  </si>
  <si>
    <t>Sportisimo Adria d.o.o.</t>
  </si>
  <si>
    <t>Horvatova ulica 80A, Zagreb</t>
  </si>
  <si>
    <t>R1 br. 1-1-1</t>
  </si>
  <si>
    <t>Bocak j.d.o.o.</t>
  </si>
  <si>
    <t>I ulica 22, 53287 Prizna</t>
  </si>
  <si>
    <t>Abgabe der Buchhaltung per Ende Juni 2024</t>
  </si>
  <si>
    <t>18910-6247</t>
  </si>
  <si>
    <t>18929-6240</t>
  </si>
  <si>
    <t>1764-LLC-360</t>
  </si>
  <si>
    <t>18902-7240</t>
  </si>
  <si>
    <t>18910-7243</t>
  </si>
  <si>
    <t>18929-7247</t>
  </si>
  <si>
    <t>6300114795-298-0</t>
  </si>
  <si>
    <t>TFFGJ5SP-2024-06</t>
  </si>
  <si>
    <t>398/PP1/1</t>
  </si>
  <si>
    <t>R1 br. 2-1-1</t>
  </si>
  <si>
    <t>R1 br. 3-1-1</t>
  </si>
  <si>
    <t>Abgabe der Buchhaltung per Ende Juli 2024</t>
  </si>
  <si>
    <t>Abgabe mit Buchhaltung per Ende Juni 2024</t>
  </si>
  <si>
    <t>116-724</t>
  </si>
  <si>
    <t>Jasaitiene Banga</t>
  </si>
  <si>
    <t>117-724</t>
  </si>
  <si>
    <t>Mario Either</t>
  </si>
  <si>
    <t>118-724</t>
  </si>
  <si>
    <t>Anesa Causevic</t>
  </si>
  <si>
    <t>119-724</t>
  </si>
  <si>
    <t>Angelika Lintner</t>
  </si>
  <si>
    <t>120-724</t>
  </si>
  <si>
    <t>Peter Neiszl</t>
  </si>
  <si>
    <t>121-724</t>
  </si>
  <si>
    <t>Schönwetter Matthias</t>
  </si>
  <si>
    <t>122-724</t>
  </si>
  <si>
    <t>Kabil Yahya</t>
  </si>
  <si>
    <t>123-724</t>
  </si>
  <si>
    <t>Yvonne Berroth</t>
  </si>
  <si>
    <t>Abgabe mit Buchhaltung per Ende Juli 2024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</si>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</sst>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n&quot;"/>
  </numFmts>
  <fonts count="24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  <font>
      <sz val="8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9" fillId="4" borderId="0">
      <alignment horizontal="left" vertical="top"/>
    </xf>
    <xf numFmtId="0" fontId="12" fillId="0" borderId="0" applyNumberFormat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</cellStyleXfs>
  <cellXfs count="36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wrapText="1"/>
    </xf>
    <xf numFmtId="0" fontId="0" fillId="0" borderId="28" xfId="0" applyBorder="1"/>
    <xf numFmtId="0" fontId="3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3" fillId="0" borderId="18" xfId="0" applyFont="1" applyBorder="1"/>
    <xf numFmtId="0" fontId="3" fillId="0" borderId="19" xfId="0" applyFont="1" applyBorder="1" applyAlignment="1">
      <alignment wrapText="1"/>
    </xf>
    <xf numFmtId="0" fontId="0" fillId="0" borderId="0" xfId="0" applyAlignment="1">
      <alignment horizontal="left"/>
    </xf>
    <xf numFmtId="4" fontId="3" fillId="0" borderId="12" xfId="2" applyNumberFormat="1" applyFont="1" applyBorder="1"/>
    <xf numFmtId="4" fontId="3" fillId="0" borderId="1" xfId="2" applyNumberFormat="1" applyFont="1" applyBorder="1" applyAlignment="1">
      <alignment horizontal="right"/>
    </xf>
    <xf numFmtId="4" fontId="3" fillId="0" borderId="17" xfId="2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5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17" fontId="3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8" fillId="0" borderId="0" xfId="0" applyFont="1"/>
    <xf numFmtId="49" fontId="0" fillId="0" borderId="0" xfId="0" applyNumberFormat="1"/>
    <xf numFmtId="0" fontId="3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3" fillId="0" borderId="35" xfId="2" applyNumberFormat="1" applyFont="1" applyBorder="1"/>
    <xf numFmtId="4" fontId="0" fillId="0" borderId="36" xfId="0" applyNumberFormat="1" applyBorder="1" applyAlignment="1">
      <alignment horizontal="right"/>
    </xf>
    <xf numFmtId="4" fontId="0" fillId="0" borderId="36" xfId="0" applyNumberFormat="1" applyBorder="1"/>
    <xf numFmtId="4" fontId="3" fillId="0" borderId="35" xfId="0" applyNumberFormat="1" applyFont="1" applyBorder="1"/>
    <xf numFmtId="0" fontId="4" fillId="2" borderId="37" xfId="0" applyFont="1" applyFill="1" applyBorder="1"/>
    <xf numFmtId="0" fontId="12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5" fillId="0" borderId="1" xfId="0" applyFont="1" applyBorder="1"/>
    <xf numFmtId="0" fontId="18" fillId="0" borderId="39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5" fillId="0" borderId="38" xfId="0" applyFont="1" applyBorder="1" applyAlignment="1">
      <alignment horizontal="center" vertical="center"/>
    </xf>
    <xf numFmtId="14" fontId="5" fillId="0" borderId="38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vertical="center"/>
    </xf>
    <xf numFmtId="4" fontId="5" fillId="0" borderId="39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4" fontId="5" fillId="0" borderId="40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4" fontId="5" fillId="0" borderId="41" xfId="0" applyNumberFormat="1" applyFont="1" applyBorder="1" applyAlignment="1">
      <alignment vertical="center"/>
    </xf>
    <xf numFmtId="0" fontId="18" fillId="0" borderId="41" xfId="0" applyFont="1" applyBorder="1" applyAlignment="1">
      <alignment vertical="center"/>
    </xf>
    <xf numFmtId="4" fontId="3" fillId="0" borderId="0" xfId="0" applyNumberFormat="1" applyFont="1"/>
    <xf numFmtId="0" fontId="5" fillId="0" borderId="42" xfId="0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44" xfId="0" applyFont="1" applyBorder="1" applyAlignment="1">
      <alignment vertical="center"/>
    </xf>
    <xf numFmtId="4" fontId="0" fillId="0" borderId="10" xfId="0" applyNumberFormat="1" applyBorder="1"/>
    <xf numFmtId="0" fontId="20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5" fillId="0" borderId="1" xfId="0" applyNumberFormat="1" applyFont="1" applyBorder="1"/>
    <xf numFmtId="0" fontId="21" fillId="0" borderId="0" xfId="0" applyFont="1"/>
    <xf numFmtId="0" fontId="0" fillId="0" borderId="14" xfId="0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4" fontId="5" fillId="0" borderId="1" xfId="0" applyNumberFormat="1" applyFont="1" applyBorder="1"/>
    <xf numFmtId="0" fontId="5" fillId="0" borderId="0" xfId="0" applyFont="1"/>
    <xf numFmtId="49" fontId="5" fillId="0" borderId="10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0" xfId="7"/>
    <xf numFmtId="14" fontId="2" fillId="0" borderId="0" xfId="7" applyNumberFormat="1"/>
    <xf numFmtId="49" fontId="0" fillId="0" borderId="1" xfId="0" applyNumberFormat="1" applyBorder="1"/>
    <xf numFmtId="4" fontId="19" fillId="3" borderId="1" xfId="0" applyNumberFormat="1" applyFont="1" applyFill="1" applyBorder="1"/>
    <xf numFmtId="0" fontId="22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19" fillId="0" borderId="0" xfId="0" applyNumberFormat="1" applyFont="1"/>
    <xf numFmtId="4" fontId="19" fillId="3" borderId="0" xfId="0" applyNumberFormat="1" applyFont="1" applyFill="1"/>
    <xf numFmtId="49" fontId="0" fillId="0" borderId="1" xfId="0" applyNumberFormat="1" applyBorder="1" applyAlignment="1">
      <alignment horizontal="center"/>
    </xf>
    <xf numFmtId="0" fontId="0" fillId="0" borderId="45" xfId="0" applyBorder="1"/>
    <xf numFmtId="0" fontId="5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5" fillId="0" borderId="17" xfId="0" applyFont="1" applyBorder="1" applyAlignment="1">
      <alignment horizontal="center"/>
    </xf>
    <xf numFmtId="4" fontId="5" fillId="0" borderId="17" xfId="0" applyNumberFormat="1" applyFont="1" applyBorder="1" applyAlignment="1">
      <alignment horizontal="center"/>
    </xf>
    <xf numFmtId="4" fontId="5" fillId="0" borderId="17" xfId="0" applyNumberFormat="1" applyFont="1" applyBorder="1"/>
    <xf numFmtId="2" fontId="5" fillId="0" borderId="17" xfId="0" applyNumberFormat="1" applyFont="1" applyBorder="1"/>
    <xf numFmtId="0" fontId="5" fillId="0" borderId="17" xfId="0" applyFont="1" applyBorder="1"/>
    <xf numFmtId="0" fontId="5" fillId="0" borderId="10" xfId="0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/>
    <xf numFmtId="0" fontId="5" fillId="0" borderId="10" xfId="0" applyFont="1" applyBorder="1"/>
    <xf numFmtId="0" fontId="0" fillId="0" borderId="26" xfId="0" applyBorder="1"/>
    <xf numFmtId="0" fontId="5" fillId="0" borderId="48" xfId="0" applyFont="1" applyBorder="1" applyAlignment="1">
      <alignment horizontal="left"/>
    </xf>
    <xf numFmtId="0" fontId="5" fillId="0" borderId="26" xfId="0" applyFont="1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22" xfId="0" applyNumberFormat="1" applyBorder="1"/>
    <xf numFmtId="49" fontId="0" fillId="0" borderId="12" xfId="0" applyNumberFormat="1" applyBorder="1"/>
    <xf numFmtId="0" fontId="0" fillId="0" borderId="2" xfId="0" applyBorder="1" applyAlignment="1">
      <alignment horizontal="center"/>
    </xf>
    <xf numFmtId="0" fontId="0" fillId="0" borderId="49" xfId="0" applyBorder="1" applyAlignment="1">
      <alignment horizontal="center"/>
    </xf>
    <xf numFmtId="14" fontId="20" fillId="0" borderId="22" xfId="0" applyNumberFormat="1" applyFon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47" xfId="0" applyBorder="1" applyAlignment="1">
      <alignment horizontal="center"/>
    </xf>
    <xf numFmtId="49" fontId="0" fillId="0" borderId="17" xfId="0" applyNumberFormat="1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right"/>
    </xf>
    <xf numFmtId="49" fontId="0" fillId="0" borderId="10" xfId="0" applyNumberFormat="1" applyBorder="1"/>
    <xf numFmtId="14" fontId="0" fillId="0" borderId="10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7" xfId="0" applyBorder="1"/>
    <xf numFmtId="0" fontId="5" fillId="0" borderId="50" xfId="0" applyFont="1" applyBorder="1" applyAlignment="1">
      <alignment horizontal="left"/>
    </xf>
    <xf numFmtId="0" fontId="5" fillId="0" borderId="17" xfId="0" applyFont="1" applyBorder="1" applyAlignment="1">
      <alignment horizontal="right"/>
    </xf>
    <xf numFmtId="0" fontId="0" fillId="0" borderId="12" xfId="0" applyBorder="1"/>
    <xf numFmtId="0" fontId="5" fillId="0" borderId="9" xfId="0" applyFont="1" applyBorder="1" applyAlignment="1">
      <alignment horizontal="left"/>
    </xf>
    <xf numFmtId="0" fontId="5" fillId="0" borderId="12" xfId="0" applyFont="1" applyBorder="1" applyAlignment="1">
      <alignment horizontal="right"/>
    </xf>
    <xf numFmtId="0" fontId="0" fillId="0" borderId="51" xfId="0" applyBorder="1" applyAlignment="1">
      <alignment horizontal="center"/>
    </xf>
    <xf numFmtId="49" fontId="0" fillId="0" borderId="52" xfId="0" applyNumberFormat="1" applyBorder="1"/>
    <xf numFmtId="14" fontId="0" fillId="0" borderId="52" xfId="0" applyNumberFormat="1" applyBorder="1" applyAlignment="1">
      <alignment horizontal="center"/>
    </xf>
    <xf numFmtId="0" fontId="0" fillId="0" borderId="52" xfId="0" applyBorder="1"/>
    <xf numFmtId="0" fontId="5" fillId="0" borderId="52" xfId="0" applyFont="1" applyBorder="1" applyAlignment="1">
      <alignment horizontal="right"/>
    </xf>
    <xf numFmtId="1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2" xfId="0" applyBorder="1" applyAlignment="1">
      <alignment horizontal="center"/>
    </xf>
    <xf numFmtId="49" fontId="0" fillId="0" borderId="52" xfId="0" applyNumberForma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0" fillId="0" borderId="55" xfId="0" applyBorder="1" applyAlignment="1">
      <alignment horizontal="center"/>
    </xf>
    <xf numFmtId="49" fontId="0" fillId="0" borderId="24" xfId="0" applyNumberFormat="1" applyBorder="1"/>
    <xf numFmtId="14" fontId="0" fillId="0" borderId="24" xfId="0" applyNumberFormat="1" applyBorder="1" applyAlignment="1">
      <alignment horizontal="center"/>
    </xf>
    <xf numFmtId="1" fontId="5" fillId="0" borderId="10" xfId="0" applyNumberFormat="1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9" fontId="0" fillId="0" borderId="11" xfId="0" applyNumberFormat="1" applyBorder="1"/>
    <xf numFmtId="14" fontId="0" fillId="0" borderId="11" xfId="0" applyNumberFormat="1" applyBorder="1" applyAlignment="1">
      <alignment horizontal="center"/>
    </xf>
    <xf numFmtId="0" fontId="5" fillId="0" borderId="10" xfId="0" applyFont="1" applyBorder="1" applyAlignment="1">
      <alignment horizontal="left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0" xfId="0" applyNumberFormat="1" applyFont="1"/>
    <xf numFmtId="2" fontId="5" fillId="0" borderId="0" xfId="0" applyNumberFormat="1" applyFont="1"/>
    <xf numFmtId="4" fontId="20" fillId="0" borderId="0" xfId="0" applyNumberFormat="1" applyFont="1"/>
    <xf numFmtId="0" fontId="5" fillId="0" borderId="56" xfId="0" applyFont="1" applyBorder="1" applyAlignment="1">
      <alignment horizontal="left"/>
    </xf>
    <xf numFmtId="2" fontId="20" fillId="0" borderId="0" xfId="0" applyNumberFormat="1" applyFont="1"/>
    <xf numFmtId="1" fontId="5" fillId="0" borderId="5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5" borderId="48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53" xfId="0" applyFill="1" applyBorder="1" applyAlignment="1">
      <alignment horizontal="center"/>
    </xf>
    <xf numFmtId="0" fontId="0" fillId="5" borderId="54" xfId="0" applyFill="1" applyBorder="1" applyAlignment="1">
      <alignment horizontal="center"/>
    </xf>
    <xf numFmtId="0" fontId="0" fillId="5" borderId="46" xfId="0" applyFill="1" applyBorder="1" applyAlignment="1">
      <alignment horizontal="center"/>
    </xf>
    <xf numFmtId="0" fontId="0" fillId="0" borderId="11" xfId="0" applyBorder="1"/>
    <xf numFmtId="0" fontId="5" fillId="0" borderId="6" xfId="0" applyFont="1" applyBorder="1" applyAlignment="1">
      <alignment horizontal="left"/>
    </xf>
    <xf numFmtId="0" fontId="5" fillId="0" borderId="11" xfId="0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0" fillId="0" borderId="24" xfId="0" applyBorder="1" applyAlignment="1">
      <alignment horizontal="center"/>
    </xf>
    <xf numFmtId="1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26" xfId="0" applyNumberFormat="1" applyFont="1" applyBorder="1" applyAlignment="1">
      <alignment horizontal="center" vertical="center"/>
    </xf>
    <xf numFmtId="0" fontId="5" fillId="0" borderId="53" xfId="0" applyFont="1" applyBorder="1" applyAlignment="1">
      <alignment horizontal="left"/>
    </xf>
    <xf numFmtId="0" fontId="5" fillId="0" borderId="24" xfId="0" applyFont="1" applyBorder="1" applyAlignment="1">
      <alignment horizontal="right"/>
    </xf>
    <xf numFmtId="0" fontId="0" fillId="6" borderId="48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46" xfId="0" applyFill="1" applyBorder="1" applyAlignment="1">
      <alignment horizontal="center"/>
    </xf>
    <xf numFmtId="49" fontId="0" fillId="0" borderId="26" xfId="0" applyNumberFormat="1" applyBorder="1"/>
    <xf numFmtId="0" fontId="5" fillId="0" borderId="26" xfId="0" applyFont="1" applyBorder="1" applyAlignment="1">
      <alignment horizontal="center"/>
    </xf>
    <xf numFmtId="0" fontId="5" fillId="0" borderId="44" xfId="0" applyFont="1" applyBorder="1" applyAlignment="1">
      <alignment vertical="center"/>
    </xf>
    <xf numFmtId="49" fontId="5" fillId="0" borderId="11" xfId="0" applyNumberFormat="1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39" xfId="0" applyFont="1" applyFill="1" applyBorder="1" applyAlignment="1">
      <alignment horizontal="center" vertical="center"/>
    </xf>
    <xf numFmtId="0" fontId="5" fillId="5" borderId="41" xfId="0" applyFont="1" applyFill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49" fontId="5" fillId="0" borderId="62" xfId="0" applyNumberFormat="1" applyFont="1" applyBorder="1" applyAlignment="1">
      <alignment horizontal="center" vertical="center"/>
    </xf>
    <xf numFmtId="14" fontId="5" fillId="0" borderId="62" xfId="0" applyNumberFormat="1" applyFont="1" applyBorder="1" applyAlignment="1">
      <alignment horizontal="center" vertical="center"/>
    </xf>
    <xf numFmtId="0" fontId="5" fillId="0" borderId="62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5" fillId="0" borderId="64" xfId="0" applyFont="1" applyBorder="1" applyAlignment="1">
      <alignment horizontal="center" vertical="center"/>
    </xf>
    <xf numFmtId="49" fontId="5" fillId="0" borderId="65" xfId="0" applyNumberFormat="1" applyFont="1" applyBorder="1" applyAlignment="1">
      <alignment horizontal="center" vertical="center"/>
    </xf>
    <xf numFmtId="14" fontId="5" fillId="0" borderId="65" xfId="0" applyNumberFormat="1" applyFont="1" applyBorder="1" applyAlignment="1">
      <alignment horizontal="center" vertical="center"/>
    </xf>
    <xf numFmtId="0" fontId="5" fillId="0" borderId="65" xfId="0" applyFont="1" applyBorder="1" applyAlignment="1">
      <alignment vertical="center"/>
    </xf>
    <xf numFmtId="0" fontId="5" fillId="0" borderId="66" xfId="0" applyFont="1" applyBorder="1" applyAlignment="1">
      <alignment vertical="center"/>
    </xf>
    <xf numFmtId="0" fontId="5" fillId="6" borderId="57" xfId="0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/>
    </xf>
    <xf numFmtId="49" fontId="5" fillId="5" borderId="58" xfId="0" applyNumberFormat="1" applyFont="1" applyFill="1" applyBorder="1" applyAlignment="1">
      <alignment horizontal="center" vertical="center"/>
    </xf>
    <xf numFmtId="49" fontId="5" fillId="5" borderId="59" xfId="0" applyNumberFormat="1" applyFont="1" applyFill="1" applyBorder="1" applyAlignment="1">
      <alignment horizontal="center" vertical="center"/>
    </xf>
    <xf numFmtId="49" fontId="5" fillId="5" borderId="60" xfId="0" applyNumberFormat="1" applyFont="1" applyFill="1" applyBorder="1" applyAlignment="1">
      <alignment horizontal="center" vertical="center"/>
    </xf>
    <xf numFmtId="49" fontId="5" fillId="6" borderId="58" xfId="0" applyNumberFormat="1" applyFont="1" applyFill="1" applyBorder="1" applyAlignment="1">
      <alignment horizontal="center" vertical="center"/>
    </xf>
    <xf numFmtId="49" fontId="5" fillId="6" borderId="59" xfId="0" applyNumberFormat="1" applyFont="1" applyFill="1" applyBorder="1" applyAlignment="1">
      <alignment horizontal="center" vertical="center"/>
    </xf>
    <xf numFmtId="49" fontId="5" fillId="6" borderId="6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0" borderId="5" xfId="0" applyBorder="1" applyAlignment="1">
      <alignment horizontal="center" textRotation="76"/>
    </xf>
    <xf numFmtId="0" fontId="0" fillId="0" borderId="0" xfId="0" applyAlignment="1">
      <alignment horizontal="center" textRotation="75"/>
    </xf>
    <xf numFmtId="0" fontId="0" fillId="0" borderId="4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1" fillId="0" borderId="33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2" fillId="0" borderId="2" xfId="4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3" fontId="0" fillId="0" borderId="14" xfId="6" applyFont="1" applyBorder="1" applyAlignment="1">
      <alignment horizontal="center" vertical="center"/>
    </xf>
    <xf numFmtId="43" fontId="0" fillId="0" borderId="13" xfId="6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3" fontId="0" fillId="0" borderId="2" xfId="0" applyNumberFormat="1" applyBorder="1" applyAlignment="1">
      <alignment horizontal="center"/>
    </xf>
  </cellXfs>
  <cellStyles count="9">
    <cellStyle name="Komma" xfId="6" builtinId="3"/>
    <cellStyle name="Link" xfId="4" builtinId="8"/>
    <cellStyle name="Normal 2" xfId="2" xr:uid="{00000000-0005-0000-0000-000002000000}"/>
    <cellStyle name="Normal 3" xfId="1" xr:uid="{00000000-0005-0000-0000-000003000000}"/>
    <cellStyle name="Normal 3 2" xfId="8" xr:uid="{00000000-0005-0000-0000-000004000000}"/>
    <cellStyle name="Normalno 2" xfId="5" xr:uid="{00000000-0005-0000-0000-000005000000}"/>
    <cellStyle name="Normalno 3" xfId="7" xr:uid="{00000000-0005-0000-0000-000006000000}"/>
    <cellStyle name="S1" xfId="3" xr:uid="{00000000-0005-0000-0000-000007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0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44" t="s">
        <v>130</v>
      </c>
      <c r="B1" s="44" t="s">
        <v>128</v>
      </c>
      <c r="C1" s="44" t="s">
        <v>127</v>
      </c>
      <c r="D1" s="44" t="s">
        <v>129</v>
      </c>
    </row>
    <row r="2" spans="1:4" x14ac:dyDescent="0.2">
      <c r="A2" t="s">
        <v>139</v>
      </c>
      <c r="B2" s="29" t="s">
        <v>354</v>
      </c>
      <c r="C2" t="s">
        <v>355</v>
      </c>
      <c r="D2" s="29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5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1">
        <v>0.05</v>
      </c>
      <c r="C38" s="41">
        <v>0.05</v>
      </c>
      <c r="D38" s="41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1">
        <v>0.13</v>
      </c>
      <c r="C41" s="41">
        <v>0.13</v>
      </c>
      <c r="D41" s="41">
        <v>0.13</v>
      </c>
    </row>
    <row r="42" spans="1:4" ht="12" customHeight="1" x14ac:dyDescent="0.2">
      <c r="A42" t="s">
        <v>177</v>
      </c>
      <c r="B42" t="str">
        <f t="shared" ref="B42:B43" si="0"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 t="shared" si="0"/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1">
        <v>0.25</v>
      </c>
      <c r="C44" s="41">
        <v>0.25</v>
      </c>
      <c r="D44" s="41">
        <v>0.25</v>
      </c>
    </row>
    <row r="45" spans="1:4" ht="12" customHeight="1" x14ac:dyDescent="0.2">
      <c r="A45" t="s">
        <v>180</v>
      </c>
      <c r="B45" t="str">
        <f t="shared" ref="B45:B46" si="1"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 t="shared" si="1"/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1">
        <v>0.05</v>
      </c>
      <c r="C65" s="41">
        <v>0.05</v>
      </c>
      <c r="D65" s="41">
        <v>0.05</v>
      </c>
    </row>
    <row r="66" spans="1:4" x14ac:dyDescent="0.2">
      <c r="A66" t="s">
        <v>196</v>
      </c>
      <c r="B66" s="41">
        <v>0.1</v>
      </c>
      <c r="C66" s="41">
        <v>0.1</v>
      </c>
      <c r="D66" s="41">
        <v>0.1</v>
      </c>
    </row>
    <row r="67" spans="1:4" x14ac:dyDescent="0.2">
      <c r="A67" t="s">
        <v>197</v>
      </c>
      <c r="B67" s="41">
        <v>0.25</v>
      </c>
      <c r="C67" s="41">
        <v>0.25</v>
      </c>
      <c r="D67" s="41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1">
        <v>0.05</v>
      </c>
      <c r="C71" s="41">
        <v>0.05</v>
      </c>
      <c r="D71" s="41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1">
        <v>0.13</v>
      </c>
      <c r="C74" s="41">
        <v>0.13</v>
      </c>
      <c r="D74" s="41">
        <v>0.13</v>
      </c>
    </row>
    <row r="75" spans="1:4" x14ac:dyDescent="0.2">
      <c r="A75" t="s">
        <v>205</v>
      </c>
      <c r="B75" t="str">
        <f t="shared" ref="B75:B76" si="2"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 t="shared" si="2"/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1">
        <v>0.25</v>
      </c>
      <c r="C77" s="41">
        <v>0.25</v>
      </c>
      <c r="D77" s="41">
        <v>0.25</v>
      </c>
    </row>
    <row r="78" spans="1:4" x14ac:dyDescent="0.2">
      <c r="A78" t="s">
        <v>208</v>
      </c>
      <c r="B78" t="str">
        <f t="shared" ref="B78:B79" si="3"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 t="shared" si="3"/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29" t="s">
        <v>320</v>
      </c>
      <c r="C83" t="s">
        <v>489</v>
      </c>
      <c r="D83" s="29" t="s">
        <v>56</v>
      </c>
    </row>
    <row r="84" spans="1:4" ht="25.5" x14ac:dyDescent="0.2">
      <c r="A84" t="s">
        <v>215</v>
      </c>
      <c r="B84" s="29" t="s">
        <v>321</v>
      </c>
      <c r="C84" s="29" t="s">
        <v>490</v>
      </c>
      <c r="D84" s="29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29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2" t="str">
        <f>CONCATENATE("UMSATZSTEUERVORANMELDUNG FÜR DEN ZEITRAUM VON ",NASLOV!B13," BIS ",NASLOV!C13,NASLOV!D13)</f>
        <v>UMSATZSTEUERVORANMELDUNG FÜR DEN ZEITRAUM VON 01.07. BIS 31.07.2020</v>
      </c>
      <c r="D88" s="29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29" t="s">
        <v>325</v>
      </c>
      <c r="C89" s="29" t="s">
        <v>144</v>
      </c>
      <c r="D89" s="29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t="str">
        <f>[3]PDV!$A$9</f>
        <v xml:space="preserve"> OBRAČUN PDV-a U OBALJENIM TRANSAKCIJAMA
 DOBARA I USLUGA - UKUPNO (I. + II.)</v>
      </c>
      <c r="C92" t="s">
        <v>359</v>
      </c>
      <c r="D92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3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1">
        <v>0.05</v>
      </c>
      <c r="C213" s="41">
        <v>0.05</v>
      </c>
      <c r="D213" s="41">
        <v>0.05</v>
      </c>
    </row>
    <row r="214" spans="1:4" x14ac:dyDescent="0.2">
      <c r="A214" t="s">
        <v>516</v>
      </c>
      <c r="B214" s="41">
        <v>0.1</v>
      </c>
      <c r="C214" s="41">
        <v>0.1</v>
      </c>
      <c r="D214" s="41">
        <v>0.1</v>
      </c>
    </row>
    <row r="215" spans="1:4" x14ac:dyDescent="0.2">
      <c r="A215" t="s">
        <v>517</v>
      </c>
      <c r="B215" s="41">
        <v>0.25</v>
      </c>
      <c r="C215" s="41">
        <v>0.25</v>
      </c>
      <c r="D215" s="41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1">
        <v>0.05</v>
      </c>
      <c r="C219" s="41">
        <v>0.05</v>
      </c>
      <c r="D219" s="41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1">
        <v>0.13</v>
      </c>
      <c r="C222" s="41">
        <v>0.13</v>
      </c>
      <c r="D222" s="41">
        <v>0.13</v>
      </c>
    </row>
    <row r="223" spans="1:4" x14ac:dyDescent="0.2">
      <c r="A223" t="s">
        <v>525</v>
      </c>
      <c r="B223" t="str">
        <f t="shared" ref="B223:B224" si="4"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 t="shared" si="4"/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1">
        <v>0.25</v>
      </c>
      <c r="C225" s="41">
        <v>0.25</v>
      </c>
      <c r="D225" s="41">
        <v>0.25</v>
      </c>
    </row>
    <row r="226" spans="1:4" x14ac:dyDescent="0.2">
      <c r="A226" t="s">
        <v>528</v>
      </c>
      <c r="B226" t="str">
        <f t="shared" ref="B226:B227" si="5"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 t="shared" si="5"/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1">
        <v>0.05</v>
      </c>
      <c r="C245" s="41">
        <v>0.05</v>
      </c>
      <c r="D245" s="41">
        <v>0.05</v>
      </c>
    </row>
    <row r="246" spans="1:4" x14ac:dyDescent="0.2">
      <c r="A246" t="s">
        <v>549</v>
      </c>
      <c r="B246" s="41">
        <v>0.1</v>
      </c>
      <c r="C246" s="41">
        <v>0.1</v>
      </c>
      <c r="D246" s="41">
        <v>0.1</v>
      </c>
    </row>
    <row r="247" spans="1:4" x14ac:dyDescent="0.2">
      <c r="A247" t="s">
        <v>550</v>
      </c>
      <c r="B247" s="41">
        <v>0.25</v>
      </c>
      <c r="C247" s="41">
        <v>0.25</v>
      </c>
      <c r="D247" s="41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1">
        <v>0.05</v>
      </c>
      <c r="C251" s="41">
        <v>0.05</v>
      </c>
      <c r="D251" s="41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1">
        <v>0.13</v>
      </c>
      <c r="C254" s="41">
        <v>0.13</v>
      </c>
      <c r="D254" s="41">
        <v>0.13</v>
      </c>
    </row>
    <row r="255" spans="1:4" x14ac:dyDescent="0.2">
      <c r="A255" t="s">
        <v>558</v>
      </c>
      <c r="B255" t="str">
        <f t="shared" ref="B255:B256" si="6"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 t="shared" si="6"/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1">
        <v>0.25</v>
      </c>
      <c r="C257" s="41">
        <v>0.25</v>
      </c>
      <c r="D257" s="41">
        <v>0.25</v>
      </c>
    </row>
    <row r="258" spans="1:4" x14ac:dyDescent="0.2">
      <c r="A258" t="s">
        <v>561</v>
      </c>
      <c r="B258" t="str">
        <f t="shared" ref="B258:B259" si="7"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 t="shared" si="7"/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B3:N73"/>
  <sheetViews>
    <sheetView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274" t="str">
        <f>INDEX(PRIJEVODI!B:D,MATCH("PDV-S-001",PRIJEVODI!A:A,0),MATCH(NASLOV!$B$2,PRIJEVODI!$B$1:$D$1,0))</f>
        <v>UVA Formular</v>
      </c>
      <c r="J3" s="274"/>
      <c r="K3" s="274"/>
    </row>
    <row r="4" spans="2:11" x14ac:dyDescent="0.2">
      <c r="I4" s="274"/>
      <c r="J4" s="274"/>
      <c r="K4" s="274"/>
    </row>
    <row r="5" spans="2:11" ht="12.75" customHeight="1" x14ac:dyDescent="0.2"/>
    <row r="6" spans="2:11" ht="12.75" customHeight="1" x14ac:dyDescent="0.2">
      <c r="B6" s="259" t="str">
        <f>INDEX(PRIJEVODI!B:D,MATCH("PDV-S-002",PRIJEVODI!A:A,0),MATCH(NASLOV!$B$2,PRIJEVODI!$B$1:$D$1,0))</f>
        <v>ZUSTÄNDIGES FINANZAMT - REGIONALBÜRO (1)</v>
      </c>
      <c r="C6" s="260"/>
      <c r="D6" s="335" t="s">
        <v>570</v>
      </c>
      <c r="E6" s="336"/>
      <c r="G6" s="329" t="str">
        <f>INDEX(PRIJEVODI!B:D,MATCH("PDV-S-004",PRIJEVODI!A:A,0),MATCH(NASLOV!$B$2,PRIJEVODI!$B$1:$D$1,0))</f>
        <v>STEUERNUMMER (UID) (3)</v>
      </c>
      <c r="H6" s="331"/>
      <c r="I6" s="323" t="str">
        <f>INDEX(PRIJEVODI!B:D,MATCH("PDV-S-005",PRIJEVODI!A:A,0),MATCH(NASLOV!$B$2,PRIJEVODI!$B$1:$D$1,0))</f>
        <v>HR</v>
      </c>
      <c r="J6" s="284" t="str">
        <f>+NASLOV!B9</f>
        <v>HR6411581446</v>
      </c>
      <c r="K6" s="296"/>
    </row>
    <row r="7" spans="2:11" ht="12.75" customHeight="1" x14ac:dyDescent="0.2">
      <c r="B7" s="261"/>
      <c r="C7" s="262"/>
      <c r="D7" s="337"/>
      <c r="E7" s="338"/>
      <c r="G7" s="332"/>
      <c r="H7" s="334"/>
      <c r="I7" s="325"/>
      <c r="J7" s="286"/>
      <c r="K7" s="301"/>
    </row>
    <row r="8" spans="2:11" ht="12.75" customHeight="1" x14ac:dyDescent="0.2">
      <c r="B8" s="263"/>
      <c r="C8" s="264"/>
      <c r="D8" s="339"/>
      <c r="E8" s="340"/>
      <c r="G8" s="259" t="str">
        <f>INDEX(PRIJEVODI!B:D,MATCH("PDV-S-006",PRIJEVODI!A:A,0),MATCH(NASLOV!$B$2,PRIJEVODI!$B$1:$D$1,0))</f>
        <v>Steuerpflichtiger (Titel/Name und Nachname)  (4)</v>
      </c>
      <c r="H8" s="260"/>
      <c r="I8" s="328" t="str">
        <f>NASLOV!B5</f>
        <v>Markus Renz</v>
      </c>
      <c r="J8" s="277"/>
      <c r="K8" s="283"/>
    </row>
    <row r="9" spans="2:11" ht="12.75" customHeight="1" x14ac:dyDescent="0.2">
      <c r="B9" s="284" t="str">
        <f>INDEX(PRIJEVODI!B:D,MATCH("PDV-S-003",PRIJEVODI!A:A,0),MATCH(NASLOV!$B$2,PRIJEVODI!$B$1:$D$1,0))</f>
        <v xml:space="preserve">Aussenstelle </v>
      </c>
      <c r="C9" s="296"/>
      <c r="D9" s="335" t="s">
        <v>571</v>
      </c>
      <c r="E9" s="336"/>
      <c r="G9" s="261"/>
      <c r="H9" s="262"/>
      <c r="I9" s="360"/>
      <c r="J9" s="274"/>
      <c r="K9" s="278"/>
    </row>
    <row r="10" spans="2:11" ht="12.75" customHeight="1" x14ac:dyDescent="0.2">
      <c r="B10" s="285"/>
      <c r="C10" s="303"/>
      <c r="D10" s="337"/>
      <c r="E10" s="338"/>
      <c r="G10" s="263"/>
      <c r="H10" s="264"/>
      <c r="I10" s="279"/>
      <c r="J10" s="280"/>
      <c r="K10" s="281"/>
    </row>
    <row r="11" spans="2:11" ht="12.75" customHeight="1" x14ac:dyDescent="0.2">
      <c r="B11" s="286"/>
      <c r="C11" s="301"/>
      <c r="D11" s="339"/>
      <c r="E11" s="340"/>
      <c r="G11" s="329" t="str">
        <f>INDEX(PRIJEVODI!B:D,MATCH("PDV-S-007",PRIJEVODI!A:A,0),MATCH(NASLOV!$B$2,PRIJEVODI!$B$1:$D$1,0))</f>
        <v>Adresse (Ort, Strasse und Hausnummer)  (5)</v>
      </c>
      <c r="H11" s="331"/>
      <c r="I11" s="328" t="str">
        <f>NASLOV!B7</f>
        <v>Am Sonnblick 6, Lichtenau</v>
      </c>
      <c r="J11" s="277"/>
      <c r="K11" s="283"/>
    </row>
    <row r="12" spans="2:11" ht="12.75" customHeight="1" x14ac:dyDescent="0.2">
      <c r="G12" s="332"/>
      <c r="H12" s="334"/>
      <c r="I12" s="279"/>
      <c r="J12" s="280"/>
      <c r="K12" s="281"/>
    </row>
    <row r="13" spans="2:11" ht="12.75" customHeight="1" x14ac:dyDescent="0.2">
      <c r="G13" s="259" t="str">
        <f>INDEX(PRIJEVODI!B:D,MATCH("PDV-S-008",PRIJEVODI!A:A,0),MATCH(NASLOV!$B$2,PRIJEVODI!$B$1:$D$1,0))</f>
        <v xml:space="preserve">Steuernummer UID des Steuervertreters </v>
      </c>
      <c r="H13" s="260"/>
      <c r="I13" s="323" t="s">
        <v>1</v>
      </c>
      <c r="J13" s="328"/>
      <c r="K13" s="283"/>
    </row>
    <row r="14" spans="2:11" x14ac:dyDescent="0.2">
      <c r="G14" s="263"/>
      <c r="H14" s="264"/>
      <c r="I14" s="325"/>
      <c r="J14" s="279"/>
      <c r="K14" s="281"/>
    </row>
    <row r="20" spans="2:14" ht="12.75" customHeight="1" x14ac:dyDescent="0.2">
      <c r="B20" s="341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341"/>
      <c r="D20" s="341"/>
      <c r="E20" s="341"/>
      <c r="F20" s="341"/>
      <c r="G20" s="341"/>
      <c r="H20" s="341"/>
      <c r="I20" s="341"/>
    </row>
    <row r="21" spans="2:14" x14ac:dyDescent="0.2">
      <c r="B21" s="341"/>
      <c r="C21" s="341"/>
      <c r="D21" s="341"/>
      <c r="E21" s="341"/>
      <c r="F21" s="341"/>
      <c r="G21" s="341"/>
      <c r="H21" s="341"/>
      <c r="I21" s="341"/>
    </row>
    <row r="22" spans="2:14" x14ac:dyDescent="0.2">
      <c r="B22" s="341"/>
      <c r="C22" s="341"/>
      <c r="D22" s="341"/>
      <c r="E22" s="341"/>
      <c r="F22" s="341"/>
      <c r="G22" s="341"/>
      <c r="H22" s="341"/>
      <c r="I22" s="341"/>
    </row>
    <row r="23" spans="2:14" x14ac:dyDescent="0.2">
      <c r="B23" s="341"/>
      <c r="C23" s="341"/>
      <c r="D23" s="341"/>
      <c r="E23" s="341"/>
      <c r="F23" s="341"/>
      <c r="G23" s="341"/>
      <c r="H23" s="341"/>
      <c r="I23" s="341"/>
    </row>
    <row r="26" spans="2:14" x14ac:dyDescent="0.2">
      <c r="B26" s="265" t="str">
        <f>INDEX(PRIJEVODI!B:D,MATCH("PDV-S-010",PRIJEVODI!A:A,0),MATCH(NASLOV!$B$2,PRIJEVODI!$B$1:$D$1,0))</f>
        <v>Ordnugsnummer  (8)</v>
      </c>
      <c r="C26" s="265" t="str">
        <f>INDEX(PRIJEVODI!B:D,MATCH("PDV-S-011",PRIJEVODI!A:A,0),MATCH(NASLOV!$B$2,PRIJEVODI!$B$1:$D$1,0))</f>
        <v>Landescode  (9)</v>
      </c>
      <c r="D26" s="259" t="str">
        <f>INDEX(PRIJEVODI!B:D,MATCH("PDV-S-012",PRIJEVODI!A:A,0),MATCH(NASLOV!$B$2,PRIJEVODI!$B$1:$D$1,0))</f>
        <v>Steuernummer UID der Lieferanten (ohne Landesvorwahl)  (10)</v>
      </c>
      <c r="E26" s="260"/>
      <c r="F26" s="259" t="str">
        <f>INDEX(PRIJEVODI!B:D,MATCH("PDV-S-013",PRIJEVODI!A:A,0),MATCH(NASLOV!$B$2,PRIJEVODI!$B$1:$D$1,0))</f>
        <v>Wert der erworbenen Güter (in Kuna und Lipa)  (11)</v>
      </c>
      <c r="G26" s="260"/>
      <c r="H26" s="259" t="str">
        <f>INDEX(PRIJEVODI!B:D,MATCH("PDV-S-014",PRIJEVODI!A:A,0),MATCH(NASLOV!$B$2,PRIJEVODI!$B$1:$D$1,0))</f>
        <v>Wert der erhaltenen Dienstleistungen (in Kuna und Lipa)  (12)</v>
      </c>
      <c r="I26" s="260"/>
    </row>
    <row r="27" spans="2:14" x14ac:dyDescent="0.2">
      <c r="B27" s="266"/>
      <c r="C27" s="266"/>
      <c r="D27" s="261"/>
      <c r="E27" s="262"/>
      <c r="F27" s="261"/>
      <c r="G27" s="262"/>
      <c r="H27" s="261"/>
      <c r="I27" s="262"/>
    </row>
    <row r="28" spans="2:14" x14ac:dyDescent="0.2">
      <c r="B28" s="266"/>
      <c r="C28" s="266"/>
      <c r="D28" s="261"/>
      <c r="E28" s="262"/>
      <c r="F28" s="261"/>
      <c r="G28" s="262"/>
      <c r="H28" s="261"/>
      <c r="I28" s="262"/>
    </row>
    <row r="29" spans="2:14" x14ac:dyDescent="0.2">
      <c r="B29" s="266"/>
      <c r="C29" s="266"/>
      <c r="D29" s="261"/>
      <c r="E29" s="262"/>
      <c r="F29" s="261"/>
      <c r="G29" s="262"/>
      <c r="H29" s="261"/>
      <c r="I29" s="262"/>
    </row>
    <row r="30" spans="2:14" x14ac:dyDescent="0.2">
      <c r="B30" s="266"/>
      <c r="C30" s="266"/>
      <c r="D30" s="261"/>
      <c r="E30" s="262"/>
      <c r="F30" s="261"/>
      <c r="G30" s="262"/>
      <c r="H30" s="261"/>
      <c r="I30" s="262"/>
    </row>
    <row r="31" spans="2:14" x14ac:dyDescent="0.2">
      <c r="B31" s="266"/>
      <c r="C31" s="266"/>
      <c r="D31" s="261"/>
      <c r="E31" s="262"/>
      <c r="F31" s="261"/>
      <c r="G31" s="262"/>
      <c r="H31" s="261"/>
      <c r="I31" s="262"/>
    </row>
    <row r="32" spans="2:14" x14ac:dyDescent="0.2">
      <c r="B32" s="266"/>
      <c r="C32" s="266"/>
      <c r="D32" s="261"/>
      <c r="E32" s="262"/>
      <c r="F32" s="261"/>
      <c r="G32" s="262"/>
      <c r="H32" s="261"/>
      <c r="I32" s="262"/>
      <c r="K32" s="42"/>
      <c r="L32" s="42"/>
      <c r="M32" s="42"/>
      <c r="N32" s="42"/>
    </row>
    <row r="33" spans="2:14" x14ac:dyDescent="0.2">
      <c r="B33" s="266"/>
      <c r="C33" s="266"/>
      <c r="D33" s="261"/>
      <c r="E33" s="262"/>
      <c r="F33" s="261"/>
      <c r="G33" s="262"/>
      <c r="H33" s="261"/>
      <c r="I33" s="262"/>
      <c r="K33" s="42"/>
      <c r="L33" s="42"/>
      <c r="M33" s="42"/>
      <c r="N33" s="42"/>
    </row>
    <row r="34" spans="2:14" x14ac:dyDescent="0.2">
      <c r="B34" s="266"/>
      <c r="C34" s="266"/>
      <c r="D34" s="261"/>
      <c r="E34" s="262"/>
      <c r="F34" s="261"/>
      <c r="G34" s="262"/>
      <c r="H34" s="261"/>
      <c r="I34" s="262"/>
      <c r="K34" s="42"/>
      <c r="L34" s="42"/>
      <c r="M34" s="42"/>
      <c r="N34" s="42"/>
    </row>
    <row r="35" spans="2:14" x14ac:dyDescent="0.2">
      <c r="B35" s="267"/>
      <c r="C35" s="267"/>
      <c r="D35" s="263"/>
      <c r="E35" s="264"/>
      <c r="F35" s="263"/>
      <c r="G35" s="264"/>
      <c r="H35" s="263"/>
      <c r="I35" s="264"/>
      <c r="K35" s="42"/>
      <c r="L35" s="42"/>
      <c r="M35" s="42"/>
      <c r="N35" s="42"/>
    </row>
    <row r="36" spans="2:14" x14ac:dyDescent="0.2">
      <c r="B36" s="2"/>
      <c r="C36" s="2"/>
      <c r="D36" s="353"/>
      <c r="E36" s="354"/>
      <c r="F36" s="93"/>
      <c r="G36" s="94"/>
      <c r="H36" s="355"/>
      <c r="I36" s="356"/>
      <c r="K36" s="115"/>
      <c r="L36" s="42"/>
      <c r="M36" s="101"/>
      <c r="N36" s="42"/>
    </row>
    <row r="37" spans="2:14" x14ac:dyDescent="0.2">
      <c r="B37" s="2"/>
      <c r="C37" s="2"/>
      <c r="D37" s="353"/>
      <c r="E37" s="354"/>
      <c r="F37" s="355"/>
      <c r="G37" s="356"/>
      <c r="H37" s="355"/>
      <c r="I37" s="356"/>
      <c r="K37" s="115"/>
      <c r="L37" s="42"/>
      <c r="M37" s="101"/>
      <c r="N37" s="42"/>
    </row>
    <row r="38" spans="2:14" x14ac:dyDescent="0.2">
      <c r="B38" s="2">
        <v>1</v>
      </c>
      <c r="C38" s="2"/>
      <c r="D38" s="64" t="s">
        <v>596</v>
      </c>
      <c r="E38" s="64"/>
      <c r="F38" s="345"/>
      <c r="G38" s="346"/>
      <c r="H38" s="358">
        <f>K38</f>
        <v>0</v>
      </c>
      <c r="I38" s="359"/>
      <c r="K38" s="116">
        <f>'IC Aq'!J29</f>
        <v>0</v>
      </c>
      <c r="L38" s="42"/>
      <c r="M38" s="101" t="s">
        <v>596</v>
      </c>
      <c r="N38" s="42"/>
    </row>
    <row r="39" spans="2:14" x14ac:dyDescent="0.2">
      <c r="B39" s="2">
        <v>2</v>
      </c>
      <c r="C39" s="2"/>
      <c r="D39" s="353" t="s">
        <v>596</v>
      </c>
      <c r="E39" s="354"/>
      <c r="F39" s="357"/>
      <c r="G39" s="346"/>
      <c r="H39" s="358" t="e">
        <f>K39</f>
        <v>#REF!</v>
      </c>
      <c r="I39" s="359"/>
      <c r="K39" s="116" t="e">
        <f>'IC Aq'!#REF!</f>
        <v>#REF!</v>
      </c>
      <c r="L39" s="42"/>
      <c r="M39" s="101" t="s">
        <v>596</v>
      </c>
      <c r="N39" s="42"/>
    </row>
    <row r="40" spans="2:14" x14ac:dyDescent="0.2">
      <c r="B40" s="2"/>
      <c r="C40" s="2"/>
      <c r="D40" s="345"/>
      <c r="E40" s="346"/>
      <c r="F40" s="345"/>
      <c r="G40" s="346"/>
      <c r="H40" s="345"/>
      <c r="I40" s="346"/>
      <c r="K40" s="42"/>
      <c r="L40" s="42"/>
      <c r="M40" s="42"/>
      <c r="N40" s="42"/>
    </row>
    <row r="41" spans="2:14" x14ac:dyDescent="0.2">
      <c r="B41" s="2"/>
      <c r="C41" s="2"/>
      <c r="D41" s="345"/>
      <c r="E41" s="346"/>
      <c r="F41" s="345"/>
      <c r="G41" s="346"/>
      <c r="H41" s="345"/>
      <c r="I41" s="346"/>
      <c r="K41" s="42"/>
      <c r="L41" s="42"/>
      <c r="M41" s="42"/>
      <c r="N41" s="42"/>
    </row>
    <row r="42" spans="2:14" x14ac:dyDescent="0.2">
      <c r="B42" s="2"/>
      <c r="C42" s="2"/>
      <c r="D42" s="345"/>
      <c r="E42" s="346"/>
      <c r="F42" s="345"/>
      <c r="G42" s="346"/>
      <c r="H42" s="345"/>
      <c r="I42" s="346"/>
      <c r="K42" s="42"/>
      <c r="L42" s="42"/>
      <c r="M42" s="42"/>
      <c r="N42" s="42"/>
    </row>
    <row r="43" spans="2:14" x14ac:dyDescent="0.2">
      <c r="B43" s="2"/>
      <c r="C43" s="2"/>
      <c r="D43" s="345"/>
      <c r="E43" s="346"/>
      <c r="F43" s="345"/>
      <c r="G43" s="346"/>
      <c r="H43" s="345"/>
      <c r="I43" s="346"/>
      <c r="K43" s="42"/>
      <c r="L43" s="42"/>
      <c r="M43" s="42"/>
      <c r="N43" s="42"/>
    </row>
    <row r="44" spans="2:14" x14ac:dyDescent="0.2">
      <c r="B44" s="2"/>
      <c r="C44" s="2"/>
      <c r="D44" s="345"/>
      <c r="E44" s="346"/>
      <c r="F44" s="345"/>
      <c r="G44" s="346"/>
      <c r="H44" s="345"/>
      <c r="I44" s="346"/>
    </row>
    <row r="45" spans="2:14" x14ac:dyDescent="0.2">
      <c r="B45" s="2"/>
      <c r="C45" s="2"/>
      <c r="D45" s="345"/>
      <c r="E45" s="346"/>
      <c r="F45" s="345"/>
      <c r="G45" s="346"/>
      <c r="H45" s="345"/>
      <c r="I45" s="346"/>
    </row>
    <row r="46" spans="2:14" x14ac:dyDescent="0.2">
      <c r="B46" s="2"/>
      <c r="C46" s="2"/>
      <c r="D46" s="345"/>
      <c r="E46" s="346"/>
      <c r="F46" s="345"/>
      <c r="G46" s="346"/>
      <c r="H46" s="345"/>
      <c r="I46" s="346"/>
    </row>
    <row r="47" spans="2:14" x14ac:dyDescent="0.2">
      <c r="B47" s="2"/>
      <c r="C47" s="2"/>
      <c r="D47" s="345"/>
      <c r="E47" s="346"/>
      <c r="F47" s="345"/>
      <c r="G47" s="346"/>
      <c r="H47" s="345"/>
      <c r="I47" s="346"/>
    </row>
    <row r="48" spans="2:14" x14ac:dyDescent="0.2">
      <c r="B48" s="2"/>
      <c r="C48" s="2"/>
      <c r="D48" s="345"/>
      <c r="E48" s="346"/>
      <c r="F48" s="350"/>
      <c r="G48" s="351"/>
      <c r="H48" s="345"/>
      <c r="I48" s="346"/>
    </row>
    <row r="49" spans="2:9" x14ac:dyDescent="0.2">
      <c r="B49" s="2"/>
      <c r="C49" s="2"/>
      <c r="D49" s="345"/>
      <c r="E49" s="346"/>
      <c r="F49" s="345"/>
      <c r="G49" s="346"/>
      <c r="H49" s="345"/>
      <c r="I49" s="346"/>
    </row>
    <row r="50" spans="2:9" x14ac:dyDescent="0.2">
      <c r="B50" s="2"/>
      <c r="C50" s="2"/>
      <c r="D50" s="345"/>
      <c r="E50" s="346"/>
      <c r="F50" s="345"/>
      <c r="G50" s="346"/>
      <c r="H50" s="345"/>
      <c r="I50" s="346"/>
    </row>
    <row r="51" spans="2:9" x14ac:dyDescent="0.2">
      <c r="B51" s="2"/>
      <c r="C51" s="2"/>
      <c r="D51" s="345"/>
      <c r="E51" s="346"/>
      <c r="F51" s="345"/>
      <c r="G51" s="346"/>
      <c r="H51" s="345"/>
      <c r="I51" s="346"/>
    </row>
    <row r="52" spans="2:9" x14ac:dyDescent="0.2">
      <c r="B52" s="2"/>
      <c r="C52" s="2"/>
      <c r="D52" s="345"/>
      <c r="E52" s="346"/>
      <c r="F52" s="345"/>
      <c r="G52" s="346"/>
      <c r="H52" s="345"/>
      <c r="I52" s="346"/>
    </row>
    <row r="53" spans="2:9" x14ac:dyDescent="0.2">
      <c r="B53" s="2"/>
      <c r="C53" s="2"/>
      <c r="D53" s="345"/>
      <c r="E53" s="346"/>
      <c r="F53" s="345"/>
      <c r="G53" s="346"/>
      <c r="H53" s="345"/>
      <c r="I53" s="346"/>
    </row>
    <row r="54" spans="2:9" x14ac:dyDescent="0.2">
      <c r="B54" s="2"/>
      <c r="C54" s="2"/>
      <c r="D54" s="345"/>
      <c r="E54" s="346"/>
      <c r="F54" s="345"/>
      <c r="G54" s="346"/>
      <c r="H54" s="345"/>
      <c r="I54" s="346"/>
    </row>
    <row r="55" spans="2:9" x14ac:dyDescent="0.2">
      <c r="B55" s="2"/>
      <c r="C55" s="2"/>
      <c r="D55" s="345"/>
      <c r="E55" s="346"/>
      <c r="F55" s="345"/>
      <c r="G55" s="346"/>
      <c r="H55" s="345"/>
      <c r="I55" s="346"/>
    </row>
    <row r="56" spans="2:9" x14ac:dyDescent="0.2">
      <c r="B56" s="2"/>
      <c r="C56" s="2"/>
      <c r="D56" s="345"/>
      <c r="E56" s="346"/>
      <c r="F56" s="345"/>
      <c r="G56" s="346"/>
      <c r="H56" s="345"/>
      <c r="I56" s="346"/>
    </row>
    <row r="57" spans="2:9" x14ac:dyDescent="0.2">
      <c r="B57" s="2"/>
      <c r="C57" s="2"/>
      <c r="D57" s="345"/>
      <c r="E57" s="346"/>
      <c r="F57" s="345"/>
      <c r="G57" s="346"/>
      <c r="H57" s="345"/>
      <c r="I57" s="346"/>
    </row>
    <row r="58" spans="2:9" x14ac:dyDescent="0.2">
      <c r="B58" s="2"/>
      <c r="C58" s="2"/>
      <c r="D58" s="345"/>
      <c r="E58" s="346"/>
      <c r="F58" s="345"/>
      <c r="G58" s="346"/>
      <c r="H58" s="345"/>
      <c r="I58" s="346"/>
    </row>
    <row r="59" spans="2:9" x14ac:dyDescent="0.2">
      <c r="B59" s="2"/>
      <c r="C59" s="2"/>
      <c r="D59" s="345"/>
      <c r="E59" s="346"/>
      <c r="F59" s="345"/>
      <c r="G59" s="346"/>
      <c r="H59" s="345"/>
      <c r="I59" s="346"/>
    </row>
    <row r="60" spans="2:9" x14ac:dyDescent="0.2">
      <c r="B60" s="2"/>
      <c r="C60" s="2"/>
      <c r="D60" s="345"/>
      <c r="E60" s="346"/>
      <c r="F60" s="345"/>
      <c r="G60" s="346"/>
      <c r="H60" s="345"/>
      <c r="I60" s="346"/>
    </row>
    <row r="61" spans="2:9" x14ac:dyDescent="0.2">
      <c r="B61" s="328" t="str">
        <f>INDEX(PRIJEVODI!B:D,MATCH("PDV-S-015",PRIJEVODI!A:A,0),MATCH(NASLOV!$B$2,PRIJEVODI!$B$1:$D$1,0))</f>
        <v>Gesamtwert</v>
      </c>
      <c r="C61" s="277"/>
      <c r="D61" s="277"/>
      <c r="E61" s="283"/>
      <c r="F61" s="361">
        <f>+F36</f>
        <v>0</v>
      </c>
      <c r="G61" s="283"/>
      <c r="H61" s="361">
        <f>+H37+H38</f>
        <v>0</v>
      </c>
      <c r="I61" s="283"/>
    </row>
    <row r="62" spans="2:9" x14ac:dyDescent="0.2">
      <c r="B62" s="279"/>
      <c r="C62" s="280"/>
      <c r="D62" s="280"/>
      <c r="E62" s="281"/>
      <c r="F62" s="279"/>
      <c r="G62" s="281"/>
      <c r="H62" s="279"/>
      <c r="I62" s="281"/>
    </row>
    <row r="70" spans="2:14" x14ac:dyDescent="0.2">
      <c r="B70" s="284" t="str">
        <f>INDEX(PRIJEVODI!B:D,MATCH("PDV-S-016",PRIJEVODI!A:A,0),MATCH(NASLOV!$B$2,PRIJEVODI!$B$1:$D$1,0))</f>
        <v>Hiermit bestätige ich die Richtigkeit der genannten Daten</v>
      </c>
      <c r="C70" s="299"/>
      <c r="D70" s="299"/>
      <c r="E70" s="299"/>
      <c r="F70" s="299"/>
      <c r="G70" s="299"/>
      <c r="H70" s="296"/>
      <c r="J70" s="284" t="str">
        <f>INDEX(PRIJEVODI!B:D,MATCH("PDV-S-018",PRIJEVODI!A:A,0),MATCH(NASLOV!$B$2,PRIJEVODI!$B$1:$D$1,0))</f>
        <v>Unterschrift     (16)</v>
      </c>
      <c r="K70" s="296"/>
      <c r="L70" s="284"/>
      <c r="M70" s="299"/>
      <c r="N70" s="296"/>
    </row>
    <row r="71" spans="2:14" x14ac:dyDescent="0.2">
      <c r="B71" s="286"/>
      <c r="C71" s="300"/>
      <c r="D71" s="300"/>
      <c r="E71" s="300"/>
      <c r="F71" s="300"/>
      <c r="G71" s="300"/>
      <c r="H71" s="301"/>
      <c r="J71" s="286"/>
      <c r="K71" s="301"/>
      <c r="L71" s="286"/>
      <c r="M71" s="300"/>
      <c r="N71" s="301"/>
    </row>
    <row r="72" spans="2:14" x14ac:dyDescent="0.2">
      <c r="B72" s="329" t="str">
        <f>INDEX(PRIJEVODI!B:D,MATCH("PDV-S-017",PRIJEVODI!A:A,0),MATCH(NASLOV!$B$2,PRIJEVODI!$B$1:$D$1,0))</f>
        <v>Berechnung verfasst von (Name und Nachname)  (15)</v>
      </c>
      <c r="C72" s="330"/>
      <c r="D72" s="331"/>
      <c r="E72" s="284" t="s">
        <v>568</v>
      </c>
      <c r="F72" s="299"/>
      <c r="G72" s="299"/>
      <c r="H72" s="296"/>
      <c r="J72" s="259" t="str">
        <f>INDEX(PRIJEVODI!B:D,MATCH("PDV-S-019",PRIJEVODI!A:A,0),MATCH(NASLOV!$B$2,PRIJEVODI!$B$1:$D$1,0))</f>
        <v>Telefonnummer / Fax /E-Mail  (17)</v>
      </c>
      <c r="K72" s="260"/>
      <c r="L72" s="352" t="s">
        <v>569</v>
      </c>
      <c r="M72" s="342"/>
      <c r="N72" s="260"/>
    </row>
    <row r="73" spans="2:14" ht="24" customHeight="1" x14ac:dyDescent="0.2">
      <c r="B73" s="332"/>
      <c r="C73" s="333"/>
      <c r="D73" s="334"/>
      <c r="E73" s="286"/>
      <c r="F73" s="300"/>
      <c r="G73" s="300"/>
      <c r="H73" s="301"/>
      <c r="J73" s="263"/>
      <c r="K73" s="264"/>
      <c r="L73" s="263"/>
      <c r="M73" s="344"/>
      <c r="N73" s="264"/>
    </row>
  </sheetData>
  <mergeCells count="104"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</mergeCells>
  <hyperlinks>
    <hyperlink ref="L72" r:id="rId1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05" t="s">
        <v>592</v>
      </c>
      <c r="B1" s="105" t="s">
        <v>593</v>
      </c>
    </row>
    <row r="2" spans="1:2" ht="15" x14ac:dyDescent="0.25">
      <c r="A2" s="106">
        <v>44044</v>
      </c>
      <c r="B2" s="105">
        <v>7.4844850000000003</v>
      </c>
    </row>
    <row r="3" spans="1:2" ht="15" x14ac:dyDescent="0.25">
      <c r="A3" s="106">
        <v>44045</v>
      </c>
      <c r="B3" s="105">
        <v>7.4844850000000003</v>
      </c>
    </row>
    <row r="4" spans="1:2" ht="15" x14ac:dyDescent="0.25">
      <c r="A4" s="106">
        <v>44046</v>
      </c>
      <c r="B4" s="105">
        <v>7.4844850000000003</v>
      </c>
    </row>
    <row r="5" spans="1:2" ht="15" x14ac:dyDescent="0.25">
      <c r="A5" s="106">
        <v>44047</v>
      </c>
      <c r="B5" s="105">
        <v>7.4804599999999999</v>
      </c>
    </row>
    <row r="6" spans="1:2" ht="15" x14ac:dyDescent="0.25">
      <c r="A6" s="106">
        <v>44048</v>
      </c>
      <c r="B6" s="105">
        <v>7.4696179999999996</v>
      </c>
    </row>
    <row r="7" spans="1:2" ht="15" x14ac:dyDescent="0.25">
      <c r="A7" s="106">
        <v>44049</v>
      </c>
      <c r="B7" s="105">
        <v>7.4696179999999996</v>
      </c>
    </row>
    <row r="8" spans="1:2" ht="15" x14ac:dyDescent="0.25">
      <c r="A8" s="106">
        <v>44050</v>
      </c>
      <c r="B8" s="105">
        <v>7.4676099999999996</v>
      </c>
    </row>
    <row r="9" spans="1:2" ht="15" x14ac:dyDescent="0.25">
      <c r="A9" s="106">
        <v>44051</v>
      </c>
      <c r="B9" s="105">
        <v>7.4619070000000001</v>
      </c>
    </row>
    <row r="10" spans="1:2" ht="15" x14ac:dyDescent="0.25">
      <c r="A10" s="106">
        <v>44052</v>
      </c>
      <c r="B10" s="105">
        <v>7.4619070000000001</v>
      </c>
    </row>
    <row r="11" spans="1:2" ht="15" x14ac:dyDescent="0.25">
      <c r="A11" s="106">
        <v>44053</v>
      </c>
      <c r="B11" s="105">
        <v>7.4619070000000001</v>
      </c>
    </row>
    <row r="12" spans="1:2" ht="15" x14ac:dyDescent="0.25">
      <c r="A12" s="106">
        <v>44054</v>
      </c>
      <c r="B12" s="105">
        <v>7.4572430000000001</v>
      </c>
    </row>
    <row r="13" spans="1:2" ht="15" x14ac:dyDescent="0.25">
      <c r="A13" s="106">
        <v>44055</v>
      </c>
      <c r="B13" s="105">
        <v>7.4639470000000001</v>
      </c>
    </row>
    <row r="14" spans="1:2" ht="15" x14ac:dyDescent="0.25">
      <c r="A14" s="106">
        <v>44056</v>
      </c>
      <c r="B14" s="105">
        <v>7.4771850000000004</v>
      </c>
    </row>
    <row r="15" spans="1:2" ht="15" x14ac:dyDescent="0.25">
      <c r="A15" s="106">
        <v>44057</v>
      </c>
      <c r="B15" s="105">
        <v>7.4775299999999998</v>
      </c>
    </row>
    <row r="16" spans="1:2" ht="15" x14ac:dyDescent="0.25">
      <c r="A16" s="106">
        <v>44058</v>
      </c>
      <c r="B16" s="105">
        <v>7.4989460000000001</v>
      </c>
    </row>
    <row r="17" spans="1:2" ht="15" x14ac:dyDescent="0.25">
      <c r="A17" s="106">
        <v>44059</v>
      </c>
      <c r="B17" s="105">
        <v>7.4989460000000001</v>
      </c>
    </row>
    <row r="18" spans="1:2" ht="15" x14ac:dyDescent="0.25">
      <c r="A18" s="106">
        <v>44060</v>
      </c>
      <c r="B18" s="105">
        <v>7.4989460000000001</v>
      </c>
    </row>
    <row r="19" spans="1:2" ht="15" x14ac:dyDescent="0.25">
      <c r="A19" s="106">
        <v>44061</v>
      </c>
      <c r="B19" s="105">
        <v>7.5233439999999998</v>
      </c>
    </row>
    <row r="20" spans="1:2" ht="15" x14ac:dyDescent="0.25">
      <c r="A20" s="106">
        <v>44062</v>
      </c>
      <c r="B20" s="105">
        <v>7.520359</v>
      </c>
    </row>
    <row r="21" spans="1:2" ht="15" x14ac:dyDescent="0.25">
      <c r="A21" s="106">
        <v>44063</v>
      </c>
      <c r="B21" s="105">
        <v>7.5247999999999999</v>
      </c>
    </row>
    <row r="22" spans="1:2" ht="15" x14ac:dyDescent="0.25">
      <c r="A22" s="106">
        <v>44064</v>
      </c>
      <c r="B22" s="105">
        <v>7.5261110000000002</v>
      </c>
    </row>
    <row r="23" spans="1:2" ht="15" x14ac:dyDescent="0.25">
      <c r="A23" s="106">
        <v>44065</v>
      </c>
      <c r="B23" s="105">
        <v>7.5255679999999998</v>
      </c>
    </row>
    <row r="24" spans="1:2" ht="15" x14ac:dyDescent="0.25">
      <c r="A24" s="106">
        <v>44066</v>
      </c>
      <c r="B24" s="105">
        <v>7.5255679999999998</v>
      </c>
    </row>
    <row r="25" spans="1:2" ht="15" x14ac:dyDescent="0.25">
      <c r="A25" s="106">
        <v>44067</v>
      </c>
      <c r="B25" s="105">
        <v>7.5255679999999998</v>
      </c>
    </row>
    <row r="26" spans="1:2" ht="15" x14ac:dyDescent="0.25">
      <c r="A26" s="106">
        <v>44068</v>
      </c>
      <c r="B26" s="105">
        <v>7.521439</v>
      </c>
    </row>
    <row r="27" spans="1:2" ht="15" x14ac:dyDescent="0.25">
      <c r="A27" s="106">
        <v>44069</v>
      </c>
      <c r="B27" s="105">
        <v>7.5273529999999997</v>
      </c>
    </row>
    <row r="28" spans="1:2" ht="15" x14ac:dyDescent="0.25">
      <c r="A28" s="106">
        <v>44070</v>
      </c>
      <c r="B28" s="105">
        <v>7.5241870000000004</v>
      </c>
    </row>
    <row r="29" spans="1:2" ht="15" x14ac:dyDescent="0.25">
      <c r="A29" s="106">
        <v>44071</v>
      </c>
      <c r="B29" s="105">
        <v>7.5210140000000001</v>
      </c>
    </row>
    <row r="30" spans="1:2" ht="15" x14ac:dyDescent="0.25">
      <c r="A30" s="106">
        <v>44072</v>
      </c>
      <c r="B30" s="105">
        <v>7.5191929999999996</v>
      </c>
    </row>
    <row r="31" spans="1:2" ht="15" x14ac:dyDescent="0.25">
      <c r="A31" s="106">
        <v>44073</v>
      </c>
      <c r="B31" s="105">
        <v>7.5191929999999996</v>
      </c>
    </row>
    <row r="32" spans="1:2" ht="15" x14ac:dyDescent="0.25">
      <c r="A32" s="106">
        <v>44074</v>
      </c>
      <c r="B32" s="105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598</v>
      </c>
    </row>
    <row r="3" spans="1:6" x14ac:dyDescent="0.2">
      <c r="B3" t="s">
        <v>599</v>
      </c>
      <c r="C3" t="s">
        <v>600</v>
      </c>
      <c r="D3" t="s">
        <v>601</v>
      </c>
      <c r="E3" t="s">
        <v>581</v>
      </c>
      <c r="F3" t="s">
        <v>597</v>
      </c>
    </row>
    <row r="4" spans="1:6" x14ac:dyDescent="0.2">
      <c r="B4" s="111"/>
    </row>
    <row r="5" spans="1:6" x14ac:dyDescent="0.2">
      <c r="B5" s="111"/>
    </row>
    <row r="6" spans="1:6" x14ac:dyDescent="0.2">
      <c r="B6" s="111"/>
    </row>
    <row r="7" spans="1:6" x14ac:dyDescent="0.2">
      <c r="B7" s="111"/>
    </row>
    <row r="8" spans="1:6" x14ac:dyDescent="0.2">
      <c r="B8" s="111"/>
    </row>
    <row r="9" spans="1:6" x14ac:dyDescent="0.2">
      <c r="B9" s="111"/>
    </row>
    <row r="10" spans="1:6" x14ac:dyDescent="0.2">
      <c r="A10" s="110"/>
      <c r="B10" s="111"/>
    </row>
    <row r="11" spans="1:6" x14ac:dyDescent="0.2">
      <c r="B11" s="1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0" t="s">
        <v>138</v>
      </c>
      <c r="B2" s="40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51" t="s">
        <v>585</v>
      </c>
      <c r="C13" s="51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 xr:uid="{00000000-0002-0000-0100-000000000000}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X76"/>
  <sheetViews>
    <sheetView showZeros="0" view="pageBreakPreview" topLeftCell="A60" zoomScale="86" zoomScaleNormal="85" zoomScaleSheetLayoutView="86" workbookViewId="0">
      <selection activeCell="H68" sqref="H68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3" x14ac:dyDescent="0.2">
      <c r="A1" s="271" t="str">
        <f>NASLOV!B5</f>
        <v>Markus Renz</v>
      </c>
      <c r="B1" s="271"/>
      <c r="C1" s="271"/>
      <c r="D1" s="271"/>
      <c r="E1" s="271"/>
      <c r="F1" s="271"/>
    </row>
    <row r="2" spans="1:23" x14ac:dyDescent="0.2">
      <c r="A2" s="271"/>
      <c r="B2" s="271"/>
      <c r="C2" s="271"/>
      <c r="D2" s="271"/>
      <c r="E2" s="271"/>
      <c r="F2" s="271"/>
      <c r="U2" s="269"/>
      <c r="V2" s="269"/>
      <c r="W2" s="22"/>
    </row>
    <row r="3" spans="1:23" x14ac:dyDescent="0.2">
      <c r="C3" s="269" t="str">
        <f>INDEX(PRIJEVODI!B:D,MATCH("IRA-001",PRIJEVODI!A:A,0),MATCH(NASLOV!$B$2,PRIJEVODI!$B$1:$D$1,0))</f>
        <v>STEUERPFLICHTIGER: TITEL /NAME UND NACHNAME</v>
      </c>
      <c r="D3" s="269"/>
      <c r="E3" s="269"/>
      <c r="F3" s="269"/>
    </row>
    <row r="4" spans="1:23" x14ac:dyDescent="0.2">
      <c r="C4" s="270" t="str">
        <f>NASLOV!B7</f>
        <v>Am Sonnblick 6, Lichtenau</v>
      </c>
      <c r="D4" s="270"/>
      <c r="E4" s="270"/>
      <c r="F4" s="270"/>
    </row>
    <row r="5" spans="1:23" x14ac:dyDescent="0.2">
      <c r="C5" s="270"/>
      <c r="D5" s="270"/>
      <c r="E5" s="270"/>
      <c r="F5" s="270"/>
    </row>
    <row r="6" spans="1:23" x14ac:dyDescent="0.2">
      <c r="C6" s="269" t="str">
        <f>INDEX(PRIJEVODI!B:D,MATCH("IRA-002",PRIJEVODI!A:A,0),MATCH(NASLOV!$B$2,PRIJEVODI!$B$1:$D$1,0))</f>
        <v>ADRESSE: ORT, STRASSE UND HAUSNUMMER</v>
      </c>
      <c r="D6" s="269"/>
      <c r="E6" s="269"/>
      <c r="F6" s="269"/>
    </row>
    <row r="7" spans="1:23" x14ac:dyDescent="0.2">
      <c r="C7" s="272"/>
      <c r="D7" s="272"/>
      <c r="E7" s="272"/>
      <c r="F7" s="272"/>
    </row>
    <row r="8" spans="1:23" x14ac:dyDescent="0.2">
      <c r="C8" s="272"/>
      <c r="D8" s="272"/>
      <c r="E8" s="272"/>
      <c r="F8" s="272"/>
    </row>
    <row r="9" spans="1:23" x14ac:dyDescent="0.2">
      <c r="C9" s="269" t="str">
        <f>INDEX(PRIJEVODI!B:D,MATCH("IRA-003",PRIJEVODI!A:A,0),MATCH(NASLOV!$B$2,PRIJEVODI!$B$1:$D$1,0))</f>
        <v>NUMMERIERUNG GEMÄSS DEM NATIONALEN KLASSIFIZIERUNGSSYSTEM</v>
      </c>
      <c r="D9" s="269"/>
      <c r="E9" s="269"/>
      <c r="F9" s="269"/>
    </row>
    <row r="10" spans="1:23" x14ac:dyDescent="0.2">
      <c r="C10" s="269"/>
      <c r="D10" s="269"/>
      <c r="E10" s="269"/>
      <c r="F10" s="269"/>
    </row>
    <row r="11" spans="1:23" x14ac:dyDescent="0.2">
      <c r="C11" s="270" t="str">
        <f>NASLOV!B9</f>
        <v>HR6411581446</v>
      </c>
      <c r="D11" s="270"/>
      <c r="E11" s="270"/>
      <c r="F11" s="270"/>
    </row>
    <row r="12" spans="1:23" x14ac:dyDescent="0.2">
      <c r="C12" s="270"/>
      <c r="D12" s="270"/>
      <c r="E12" s="270"/>
      <c r="F12" s="270"/>
    </row>
    <row r="13" spans="1:23" x14ac:dyDescent="0.2">
      <c r="C13" s="269" t="str">
        <f>INDEX(PRIJEVODI!B:D,MATCH("IRA-004",PRIJEVODI!A:A,0),MATCH(NASLOV!$B$2,PRIJEVODI!$B$1:$D$1,0))</f>
        <v>STEUERNUMMER (UID)</v>
      </c>
      <c r="D13" s="269"/>
      <c r="E13" s="269"/>
      <c r="F13" s="269"/>
    </row>
    <row r="15" spans="1:23" x14ac:dyDescent="0.2">
      <c r="G15" s="273" t="str">
        <f>INDEX(PRIJEVODI!B:D,MATCH("IRA-005",PRIJEVODI!A:A,0),MATCH(NASLOV!$B$2,PRIJEVODI!$B$1:$D$1,0))</f>
        <v>AUSGANGSRECHNUNGSBUCH</v>
      </c>
      <c r="H15" s="274"/>
      <c r="I15" s="274"/>
      <c r="J15" s="274"/>
      <c r="K15" s="274"/>
      <c r="M15" s="268" t="s">
        <v>591</v>
      </c>
      <c r="N15" s="268"/>
      <c r="O15" s="268"/>
      <c r="P15" s="287"/>
      <c r="Q15" s="287"/>
      <c r="R15" s="287"/>
    </row>
    <row r="16" spans="1:23" x14ac:dyDescent="0.2">
      <c r="G16" s="274"/>
      <c r="H16" s="274"/>
      <c r="I16" s="274"/>
      <c r="J16" s="274"/>
      <c r="K16" s="274"/>
      <c r="M16" s="268"/>
      <c r="N16" s="268"/>
      <c r="O16" s="268"/>
      <c r="P16" s="287"/>
      <c r="Q16" s="287"/>
      <c r="R16" s="287"/>
    </row>
    <row r="17" spans="2:24" x14ac:dyDescent="0.2">
      <c r="T17" s="274" t="str">
        <f>INDEX(PRIJEVODI!B:D,MATCH("IRA-006",PRIJEVODI!A:A,0),MATCH(NASLOV!$B$2,PRIJEVODI!$B$1:$D$1,0))</f>
        <v>BETRAG IN KUNA UND LIPA</v>
      </c>
      <c r="U17" s="274"/>
      <c r="V17" s="274"/>
      <c r="W17" s="274"/>
    </row>
    <row r="18" spans="2:24" x14ac:dyDescent="0.2">
      <c r="X18" s="68"/>
    </row>
    <row r="19" spans="2:24" x14ac:dyDescent="0.2">
      <c r="B19" s="243" t="str">
        <f>INDEX(PRIJEVODI!B:D,MATCH("IRA-007",PRIJEVODI!A:A,0),MATCH(NASLOV!$B$2,PRIJEVODI!$B$1:$D$1,0))</f>
        <v xml:space="preserve">ORDNUNGSNUMMER </v>
      </c>
      <c r="C19" s="246" t="str">
        <f>INDEX(PRIJEVODI!B:D,MATCH("IRA-008",PRIJEVODI!A:A,0),MATCH(NASLOV!$B$2,PRIJEVODI!$B$1:$D$1,0))</f>
        <v>RECHNUNG</v>
      </c>
      <c r="D19" s="247"/>
      <c r="E19" s="250" t="str">
        <f>INDEX(PRIJEVODI!B:D,MATCH("IRA-011",PRIJEVODI!A:A,0),MATCH(NASLOV!$B$2,PRIJEVODI!$B$1:$D$1,0))</f>
        <v>KUNDE (EMPFÄNGER VON GÜTERN ODER DIENSTLEISTUNGEN)</v>
      </c>
      <c r="F19" s="251"/>
      <c r="G19" s="252"/>
      <c r="H19" s="237" t="str">
        <f>INDEX(PRIJEVODI!B:D,MATCH("IRA-014",PRIJEVODI!A:A,0),MATCH(NASLOV!$B$2,PRIJEVODI!$B$1:$D$1,0))</f>
        <v>BETRAG (inklusive Mehrwertsteuern)</v>
      </c>
      <c r="I19" s="246" t="str">
        <f>INDEX(PRIJEVODI!B:D,MATCH("IRA-015",PRIJEVODI!A:A,0),MATCH(NASLOV!$B$2,PRIJEVODI!$B$1:$D$1,0))</f>
        <v xml:space="preserve">STEUER- UND MEHRWERTSTERERFREIE ERTRÄGE </v>
      </c>
      <c r="J19" s="277"/>
      <c r="K19" s="277"/>
      <c r="L19" s="277"/>
      <c r="M19" s="277"/>
      <c r="N19" s="277"/>
      <c r="O19" s="277"/>
      <c r="P19" s="277"/>
      <c r="Q19" s="277"/>
      <c r="R19" s="283"/>
      <c r="S19" s="246" t="str">
        <f>INDEX(PRIJEVODI!B:D,MATCH("IRA-026",PRIJEVODI!A:A,0),MATCH(NASLOV!$B$2,PRIJEVODI!$B$1:$D$1,0))</f>
        <v xml:space="preserve">STEUERPFLICHTIG </v>
      </c>
      <c r="T19" s="277"/>
      <c r="U19" s="277"/>
      <c r="V19" s="277"/>
      <c r="W19" s="277"/>
      <c r="X19" s="278"/>
    </row>
    <row r="20" spans="2:24" ht="12.75" customHeight="1" x14ac:dyDescent="0.2">
      <c r="B20" s="244"/>
      <c r="C20" s="248"/>
      <c r="D20" s="249"/>
      <c r="E20" s="253"/>
      <c r="F20" s="254"/>
      <c r="G20" s="255"/>
      <c r="H20" s="238"/>
      <c r="I20" s="279"/>
      <c r="J20" s="280"/>
      <c r="K20" s="280"/>
      <c r="L20" s="280"/>
      <c r="M20" s="280"/>
      <c r="N20" s="280"/>
      <c r="O20" s="280"/>
      <c r="P20" s="280"/>
      <c r="Q20" s="280"/>
      <c r="R20" s="281"/>
      <c r="S20" s="279"/>
      <c r="T20" s="280"/>
      <c r="U20" s="280"/>
      <c r="V20" s="280"/>
      <c r="W20" s="280"/>
      <c r="X20" s="281"/>
    </row>
    <row r="21" spans="2:24" ht="12.75" customHeight="1" x14ac:dyDescent="0.2">
      <c r="B21" s="244"/>
      <c r="C21" s="256" t="str">
        <f>INDEX(PRIJEVODI!B:D,MATCH("IRA-009",PRIJEVODI!A:A,0),MATCH(NASLOV!$B$2,PRIJEVODI!$B$1:$D$1,0))</f>
        <v xml:space="preserve">NUMMER </v>
      </c>
      <c r="D21" s="256" t="str">
        <f>INDEX(PRIJEVODI!B:D,MATCH("IRA-010",PRIJEVODI!A:A,0),MATCH(NASLOV!$B$2,PRIJEVODI!$B$1:$D$1,0))</f>
        <v>DATUM</v>
      </c>
      <c r="E21" s="259" t="str">
        <f>INDEX(PRIJEVODI!B:D,MATCH("IRA-012",PRIJEVODI!A:A,0),MATCH(NASLOV!$B$2,PRIJEVODI!$B$1:$D$1,0))</f>
        <v>TITEL - NAME UND NACHNAME UND GESCHÄFTSSITZ / SITZORT</v>
      </c>
      <c r="F21" s="260"/>
      <c r="G21" s="265" t="str">
        <f>INDEX(PRIJEVODI!B:D,MATCH("IRA-013",PRIJEVODI!A:A,0),MATCH(NASLOV!$B$2,PRIJEVODI!$B$1:$D$1,0))</f>
        <v>STEUERNUMMER (UID)</v>
      </c>
      <c r="H21" s="238"/>
      <c r="I21" s="240" t="str">
        <f>INDEX(PRIJEVODI!B:D,MATCH("IRA-016",PRIJEVODI!A:A,0),MATCH(NASLOV!$B$2,PRIJEVODI!$B$1:$D$1,0))</f>
        <v>INLAND ÜBERTRAGUNG DER STEUERPFLICHT</v>
      </c>
      <c r="J21" s="240" t="str">
        <f>INDEX(PRIJEVODI!B:D,MATCH("IRA-017",PRIJEVODI!A:A,0),MATCH(NASLOV!$B$2,PRIJEVODI!$B$1:$D$1,0))</f>
        <v>LIEFERUNG VON GÜTERN IN ANDERE EU MITGLIEDSTAATEN</v>
      </c>
      <c r="K21" s="240" t="str">
        <f>INDEX(PRIJEVODI!B:D,MATCH("IRA-018",PRIJEVODI!A:A,0),MATCH(NASLOV!$B$2,PRIJEVODI!$B$1:$D$1,0))</f>
        <v>LIEFERUNG VON GÜTERN INNERHALB DER EU</v>
      </c>
      <c r="L21" s="240" t="str">
        <f>INDEX(PRIJEVODI!B:D,MATCH("IRA-019",PRIJEVODI!A:A,0),MATCH(NASLOV!$B$2,PRIJEVODI!$B$1:$D$1,0))</f>
        <v>ERBRACHTE DIENSTLEISTUNGEN INNERHALB DER EU</v>
      </c>
      <c r="M21" s="240" t="str">
        <f>INDEX(PRIJEVODI!B:D,MATCH("IRA-020",PRIJEVODI!A:A,0),MATCH(NASLOV!$B$2,PRIJEVODI!$B$1:$D$1,0))</f>
        <v xml:space="preserve">ERBRACHTE DIENSTLEISTUNGEN AN PERSONEN OHNE SITZ IN KROATIEN   </v>
      </c>
      <c r="N21" s="240" t="str">
        <f>INDEX(PRIJEVODI!B:D,MATCH("IRA-021",PRIJEVODI!A:A,0),MATCH(NASLOV!$B$2,PRIJEVODI!$B$1:$D$1,0))</f>
        <v>MONTAGE UND INSTALLATION VON GÜTERN IN EINEM ANDEREN EU MITGLIEDSTAAT</v>
      </c>
      <c r="O21" s="240" t="str">
        <f>INDEX(PRIJEVODI!B:D,MATCH("IRA-022",PRIJEVODI!A:A,0),MATCH(NASLOV!$B$2,PRIJEVODI!$B$1:$D$1,0))</f>
        <v>LIEFERUNG NEUER TRANSPORTMITTEL (NTM) IN DIE EU</v>
      </c>
      <c r="P21" s="240" t="str">
        <f>INDEX(PRIJEVODI!B:D,MATCH("IRA-023",PRIJEVODI!A:A,0),MATCH(NASLOV!$B$2,PRIJEVODI!$B$1:$D$1,0))</f>
        <v>IM INLAND</v>
      </c>
      <c r="Q21" s="240" t="str">
        <f>INDEX(PRIJEVODI!B:D,MATCH("IRA-024",PRIJEVODI!A:A,0),MATCH(NASLOV!$B$2,PRIJEVODI!$B$1:$D$1,0))</f>
        <v>EXPORTLIEFERUNG</v>
      </c>
      <c r="R21" s="240" t="str">
        <f>INDEX(PRIJEVODI!B:D,MATCH("IRA-025",PRIJEVODI!A:A,0),MATCH(NASLOV!$B$2,PRIJEVODI!$B$1:$D$1,0))</f>
        <v>SONSTIGE STEUERBEFREIUNGEN</v>
      </c>
      <c r="S21" s="282">
        <v>0.05</v>
      </c>
      <c r="T21" s="283"/>
      <c r="U21" s="282">
        <v>0.13</v>
      </c>
      <c r="V21" s="283"/>
      <c r="W21" s="282">
        <v>0.25</v>
      </c>
      <c r="X21" s="283"/>
    </row>
    <row r="22" spans="2:24" x14ac:dyDescent="0.2">
      <c r="B22" s="244"/>
      <c r="C22" s="257"/>
      <c r="D22" s="257"/>
      <c r="E22" s="261"/>
      <c r="F22" s="262"/>
      <c r="G22" s="266"/>
      <c r="H22" s="238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79"/>
      <c r="T22" s="281"/>
      <c r="U22" s="279"/>
      <c r="V22" s="281"/>
      <c r="W22" s="279"/>
      <c r="X22" s="281"/>
    </row>
    <row r="23" spans="2:24" x14ac:dyDescent="0.2">
      <c r="B23" s="244"/>
      <c r="C23" s="257"/>
      <c r="D23" s="257"/>
      <c r="E23" s="261"/>
      <c r="F23" s="262"/>
      <c r="G23" s="266"/>
      <c r="H23" s="238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56" t="str">
        <f>INDEX(PRIJEVODI!B:D,MATCH("IRA-028",PRIJEVODI!A:A,0),MATCH(NASLOV!$B$2,PRIJEVODI!$B$1:$D$1,0))</f>
        <v>LIEFERWERT</v>
      </c>
      <c r="T23" s="256" t="str">
        <f>INDEX(PRIJEVODI!B:D,MATCH("IRA-029",PRIJEVODI!A:A,0),MATCH(NASLOV!$B$2,PRIJEVODI!$B$1:$D$1,0))</f>
        <v>STEUER</v>
      </c>
      <c r="U23" s="256" t="str">
        <f>INDEX(PRIJEVODI!B:D,MATCH("IRA-031",PRIJEVODI!A:A,0),MATCH(NASLOV!$B$2,PRIJEVODI!$B$1:$D$1,0))</f>
        <v>LIEFERWERT</v>
      </c>
      <c r="V23" s="256" t="str">
        <f>INDEX(PRIJEVODI!B:D,MATCH("IRA-032",PRIJEVODI!A:A,0),MATCH(NASLOV!$B$2,PRIJEVODI!$B$1:$D$1,0))</f>
        <v>STEUER</v>
      </c>
      <c r="W23" s="284" t="str">
        <f>INDEX(PRIJEVODI!B:D,MATCH("IRA-034",PRIJEVODI!A:A,0),MATCH(NASLOV!$B$2,PRIJEVODI!$B$1:$D$1,0))</f>
        <v>LIEFERWERT</v>
      </c>
      <c r="X23" s="256" t="str">
        <f>INDEX(PRIJEVODI!B:D,MATCH("IRA-035",PRIJEVODI!A:A,0),MATCH(NASLOV!$B$2,PRIJEVODI!$B$1:$D$1,0))</f>
        <v>STEUER</v>
      </c>
    </row>
    <row r="24" spans="2:24" x14ac:dyDescent="0.2">
      <c r="B24" s="244"/>
      <c r="C24" s="257"/>
      <c r="D24" s="257"/>
      <c r="E24" s="261"/>
      <c r="F24" s="262"/>
      <c r="G24" s="266"/>
      <c r="H24" s="238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57"/>
      <c r="T24" s="257"/>
      <c r="U24" s="257"/>
      <c r="V24" s="257"/>
      <c r="W24" s="285"/>
      <c r="X24" s="257"/>
    </row>
    <row r="25" spans="2:24" x14ac:dyDescent="0.2">
      <c r="B25" s="244"/>
      <c r="C25" s="257"/>
      <c r="D25" s="257"/>
      <c r="E25" s="261"/>
      <c r="F25" s="262"/>
      <c r="G25" s="266"/>
      <c r="H25" s="238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57"/>
      <c r="T25" s="257"/>
      <c r="U25" s="257"/>
      <c r="V25" s="257"/>
      <c r="W25" s="285"/>
      <c r="X25" s="257"/>
    </row>
    <row r="26" spans="2:24" x14ac:dyDescent="0.2">
      <c r="B26" s="244"/>
      <c r="C26" s="257"/>
      <c r="D26" s="257"/>
      <c r="E26" s="261"/>
      <c r="F26" s="262"/>
      <c r="G26" s="266"/>
      <c r="H26" s="238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57"/>
      <c r="T26" s="257"/>
      <c r="U26" s="257"/>
      <c r="V26" s="257"/>
      <c r="W26" s="285"/>
      <c r="X26" s="257"/>
    </row>
    <row r="27" spans="2:24" ht="17.25" customHeight="1" x14ac:dyDescent="0.2">
      <c r="B27" s="245"/>
      <c r="C27" s="258"/>
      <c r="D27" s="258"/>
      <c r="E27" s="263"/>
      <c r="F27" s="264"/>
      <c r="G27" s="267"/>
      <c r="H27" s="239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58"/>
      <c r="T27" s="258"/>
      <c r="U27" s="258"/>
      <c r="V27" s="258"/>
      <c r="W27" s="286"/>
      <c r="X27" s="258"/>
    </row>
    <row r="28" spans="2:24" x14ac:dyDescent="0.2">
      <c r="B28" s="3">
        <v>1</v>
      </c>
      <c r="C28" s="3">
        <v>2</v>
      </c>
      <c r="D28" s="3">
        <v>3</v>
      </c>
      <c r="E28" s="275">
        <v>4</v>
      </c>
      <c r="F28" s="276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66">
        <v>21</v>
      </c>
      <c r="X28" s="3">
        <v>22</v>
      </c>
    </row>
    <row r="29" spans="2:24" x14ac:dyDescent="0.2">
      <c r="B29" s="69"/>
      <c r="C29" s="85"/>
      <c r="D29" s="88"/>
      <c r="E29" s="79"/>
      <c r="F29" s="79"/>
      <c r="G29" s="79"/>
      <c r="H29" s="30"/>
      <c r="I29" s="81"/>
      <c r="J29" s="81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80">
        <f t="shared" ref="U29" si="0">+V29/0.13</f>
        <v>0</v>
      </c>
      <c r="V29" s="72"/>
      <c r="W29" s="30"/>
      <c r="X29" s="30"/>
    </row>
    <row r="30" spans="2:24" x14ac:dyDescent="0.2">
      <c r="B30" s="216">
        <v>91</v>
      </c>
      <c r="C30" s="86" t="s">
        <v>643</v>
      </c>
      <c r="D30" s="88">
        <v>45232</v>
      </c>
      <c r="E30" s="75" t="s">
        <v>644</v>
      </c>
      <c r="F30" s="79"/>
      <c r="G30" s="83"/>
      <c r="H30" s="30">
        <f>U30+V30</f>
        <v>2141.723769230769</v>
      </c>
      <c r="I30" s="89"/>
      <c r="J30" s="89"/>
      <c r="K30" s="90"/>
      <c r="L30" s="81"/>
      <c r="M30" s="81"/>
      <c r="N30" s="81"/>
      <c r="O30" s="81"/>
      <c r="P30" s="81"/>
      <c r="Q30" s="81"/>
      <c r="R30" s="81"/>
      <c r="S30" s="81"/>
      <c r="T30" s="81"/>
      <c r="U30" s="80">
        <f>+V30/0.13</f>
        <v>1895.3307692307692</v>
      </c>
      <c r="V30" s="72">
        <v>246.393</v>
      </c>
      <c r="W30" s="91"/>
      <c r="X30" s="91"/>
    </row>
    <row r="31" spans="2:24" x14ac:dyDescent="0.2">
      <c r="B31" s="217"/>
      <c r="C31" s="86"/>
      <c r="D31" s="87"/>
      <c r="E31" s="75"/>
      <c r="F31" s="79"/>
      <c r="G31" s="75"/>
      <c r="H31" s="30"/>
      <c r="I31" s="89"/>
      <c r="J31" s="89"/>
      <c r="K31" s="90"/>
      <c r="L31" s="81"/>
      <c r="M31" s="81"/>
      <c r="N31" s="81"/>
      <c r="O31" s="81"/>
      <c r="P31" s="81"/>
      <c r="Q31" s="81"/>
      <c r="R31" s="81"/>
      <c r="S31" s="81"/>
      <c r="T31" s="81"/>
      <c r="U31" s="80"/>
      <c r="V31" s="72"/>
      <c r="W31" s="91"/>
      <c r="X31" s="91"/>
    </row>
    <row r="32" spans="2:24" x14ac:dyDescent="0.2">
      <c r="B32" s="216">
        <v>1</v>
      </c>
      <c r="C32" s="86" t="s">
        <v>645</v>
      </c>
      <c r="D32" s="87">
        <v>45399</v>
      </c>
      <c r="E32" s="75" t="s">
        <v>646</v>
      </c>
      <c r="F32" s="79"/>
      <c r="G32" s="75"/>
      <c r="H32" s="30">
        <f t="shared" ref="H32:H38" si="1">U32+V32</f>
        <v>1087.1034615384615</v>
      </c>
      <c r="I32" s="89"/>
      <c r="J32" s="89"/>
      <c r="K32" s="90"/>
      <c r="L32" s="81"/>
      <c r="M32" s="81"/>
      <c r="N32" s="81"/>
      <c r="O32" s="81"/>
      <c r="P32" s="81"/>
      <c r="Q32" s="81"/>
      <c r="R32" s="81"/>
      <c r="S32" s="81"/>
      <c r="T32" s="81"/>
      <c r="U32" s="80">
        <f t="shared" ref="U32:U34" si="2">+V32/0.13</f>
        <v>962.03846153846143</v>
      </c>
      <c r="V32" s="72">
        <v>125.065</v>
      </c>
      <c r="W32" s="91"/>
      <c r="X32" s="91"/>
    </row>
    <row r="33" spans="2:24" x14ac:dyDescent="0.2">
      <c r="B33" s="217">
        <v>2</v>
      </c>
      <c r="C33" s="102" t="s">
        <v>713</v>
      </c>
      <c r="D33" s="87">
        <v>45418</v>
      </c>
      <c r="E33" s="75" t="s">
        <v>714</v>
      </c>
      <c r="F33" s="79"/>
      <c r="G33" s="104"/>
      <c r="H33" s="30">
        <f t="shared" si="1"/>
        <v>2771.2815384615383</v>
      </c>
      <c r="I33" s="89"/>
      <c r="J33" s="89"/>
      <c r="K33" s="90"/>
      <c r="L33" s="81"/>
      <c r="M33" s="81"/>
      <c r="N33" s="81"/>
      <c r="O33" s="81"/>
      <c r="P33" s="81"/>
      <c r="Q33" s="81"/>
      <c r="R33" s="81"/>
      <c r="S33" s="81"/>
      <c r="T33" s="81"/>
      <c r="U33" s="80">
        <f t="shared" si="2"/>
        <v>2452.4615384615381</v>
      </c>
      <c r="V33" s="72">
        <v>318.82</v>
      </c>
      <c r="W33" s="91"/>
      <c r="X33" s="91"/>
    </row>
    <row r="34" spans="2:24" x14ac:dyDescent="0.2">
      <c r="B34" s="216">
        <v>3</v>
      </c>
      <c r="C34" s="102" t="s">
        <v>716</v>
      </c>
      <c r="D34" s="87">
        <v>45436</v>
      </c>
      <c r="E34" s="75" t="s">
        <v>715</v>
      </c>
      <c r="F34" s="79"/>
      <c r="G34" s="104"/>
      <c r="H34" s="30">
        <f t="shared" si="1"/>
        <v>1299.4521923076923</v>
      </c>
      <c r="I34" s="89"/>
      <c r="J34" s="89"/>
      <c r="K34" s="90"/>
      <c r="L34" s="81"/>
      <c r="M34" s="81"/>
      <c r="N34" s="81"/>
      <c r="O34" s="81"/>
      <c r="P34" s="81"/>
      <c r="Q34" s="81"/>
      <c r="R34" s="81"/>
      <c r="S34" s="81"/>
      <c r="T34" s="81"/>
      <c r="U34" s="80">
        <f t="shared" si="2"/>
        <v>1149.9576923076922</v>
      </c>
      <c r="V34" s="72">
        <v>149.49449999999999</v>
      </c>
      <c r="W34" s="91"/>
      <c r="X34" s="91"/>
    </row>
    <row r="35" spans="2:24" x14ac:dyDescent="0.2">
      <c r="B35" s="217">
        <v>4</v>
      </c>
      <c r="C35" s="102" t="s">
        <v>720</v>
      </c>
      <c r="D35" s="87">
        <v>45450</v>
      </c>
      <c r="E35" s="75" t="s">
        <v>725</v>
      </c>
      <c r="F35" s="79"/>
      <c r="G35" s="104"/>
      <c r="H35" s="30">
        <f t="shared" si="1"/>
        <v>792.17346153846154</v>
      </c>
      <c r="I35" s="89"/>
      <c r="J35" s="89"/>
      <c r="K35" s="90"/>
      <c r="L35" s="81"/>
      <c r="M35" s="81"/>
      <c r="N35" s="81"/>
      <c r="O35" s="81"/>
      <c r="P35" s="81"/>
      <c r="Q35" s="81"/>
      <c r="R35" s="81"/>
      <c r="S35" s="81"/>
      <c r="T35" s="81"/>
      <c r="U35" s="80">
        <f t="shared" ref="U35:U40" si="3">+V35/0.13</f>
        <v>701.03846153846155</v>
      </c>
      <c r="V35" s="72">
        <v>91.135000000000005</v>
      </c>
      <c r="W35" s="91"/>
      <c r="X35" s="91"/>
    </row>
    <row r="36" spans="2:24" x14ac:dyDescent="0.2">
      <c r="B36" s="216">
        <v>5</v>
      </c>
      <c r="C36" s="102" t="s">
        <v>721</v>
      </c>
      <c r="D36" s="87">
        <v>45453</v>
      </c>
      <c r="E36" s="75" t="s">
        <v>726</v>
      </c>
      <c r="F36" s="79"/>
      <c r="G36" s="104"/>
      <c r="H36" s="30">
        <f t="shared" si="1"/>
        <v>966.78453846153843</v>
      </c>
      <c r="I36" s="89"/>
      <c r="J36" s="89"/>
      <c r="K36" s="90"/>
      <c r="L36" s="81"/>
      <c r="M36" s="81"/>
      <c r="N36" s="81"/>
      <c r="O36" s="81"/>
      <c r="P36" s="81"/>
      <c r="Q36" s="81"/>
      <c r="R36" s="81"/>
      <c r="S36" s="81"/>
      <c r="T36" s="81"/>
      <c r="U36" s="80">
        <f t="shared" si="3"/>
        <v>855.56153846153848</v>
      </c>
      <c r="V36" s="72">
        <v>111.223</v>
      </c>
      <c r="W36" s="91"/>
      <c r="X36" s="91"/>
    </row>
    <row r="37" spans="2:24" ht="12.75" customHeight="1" x14ac:dyDescent="0.2">
      <c r="B37" s="217">
        <v>6</v>
      </c>
      <c r="C37" s="102" t="s">
        <v>722</v>
      </c>
      <c r="D37" s="87">
        <v>45454</v>
      </c>
      <c r="E37" s="75" t="s">
        <v>727</v>
      </c>
      <c r="F37" s="79"/>
      <c r="G37" s="104"/>
      <c r="H37" s="30">
        <f t="shared" si="1"/>
        <v>1284.2363076923075</v>
      </c>
      <c r="I37" s="89"/>
      <c r="J37" s="89"/>
      <c r="K37" s="90"/>
      <c r="L37" s="81"/>
      <c r="M37" s="81"/>
      <c r="N37" s="81"/>
      <c r="O37" s="81"/>
      <c r="P37" s="81"/>
      <c r="Q37" s="81"/>
      <c r="R37" s="81"/>
      <c r="S37" s="81"/>
      <c r="T37" s="81"/>
      <c r="U37" s="80">
        <f t="shared" si="3"/>
        <v>1136.4923076923076</v>
      </c>
      <c r="V37" s="72">
        <v>147.744</v>
      </c>
      <c r="W37" s="91"/>
      <c r="X37" s="91"/>
    </row>
    <row r="38" spans="2:24" x14ac:dyDescent="0.2">
      <c r="B38" s="216">
        <v>7</v>
      </c>
      <c r="C38" s="102" t="s">
        <v>723</v>
      </c>
      <c r="D38" s="87">
        <v>45454</v>
      </c>
      <c r="E38" s="75" t="s">
        <v>728</v>
      </c>
      <c r="F38" s="79"/>
      <c r="G38" s="104"/>
      <c r="H38" s="30">
        <f t="shared" si="1"/>
        <v>1053.9162307692307</v>
      </c>
      <c r="I38" s="89"/>
      <c r="J38" s="89"/>
      <c r="K38" s="90"/>
      <c r="L38" s="81"/>
      <c r="M38" s="81"/>
      <c r="N38" s="81"/>
      <c r="O38" s="81"/>
      <c r="P38" s="81"/>
      <c r="Q38" s="81"/>
      <c r="R38" s="81"/>
      <c r="S38" s="81"/>
      <c r="T38" s="81"/>
      <c r="U38" s="80">
        <f t="shared" si="3"/>
        <v>932.66923076923069</v>
      </c>
      <c r="V38" s="72">
        <v>121.247</v>
      </c>
      <c r="W38" s="91"/>
      <c r="X38" s="91"/>
    </row>
    <row r="39" spans="2:24" ht="13.5" thickBot="1" x14ac:dyDescent="0.25">
      <c r="B39" s="218">
        <v>8</v>
      </c>
      <c r="C39" s="102" t="s">
        <v>724</v>
      </c>
      <c r="D39" s="103">
        <v>45455</v>
      </c>
      <c r="E39" s="104" t="s">
        <v>729</v>
      </c>
      <c r="F39" s="79"/>
      <c r="G39" s="104"/>
      <c r="H39" s="30">
        <f>U39+V39</f>
        <v>4319.9986923076922</v>
      </c>
      <c r="I39" s="89"/>
      <c r="J39" s="89"/>
      <c r="K39" s="90"/>
      <c r="L39" s="81"/>
      <c r="M39" s="81"/>
      <c r="N39" s="81"/>
      <c r="O39" s="81"/>
      <c r="P39" s="81"/>
      <c r="Q39" s="81"/>
      <c r="R39" s="81"/>
      <c r="S39" s="81"/>
      <c r="T39" s="81"/>
      <c r="U39" s="80">
        <f t="shared" si="3"/>
        <v>3823.0076923076922</v>
      </c>
      <c r="V39" s="72">
        <v>496.99099999999999</v>
      </c>
      <c r="W39" s="91"/>
      <c r="X39" s="91"/>
    </row>
    <row r="40" spans="2:24" x14ac:dyDescent="0.2">
      <c r="B40" s="219"/>
      <c r="C40" s="220"/>
      <c r="D40" s="221"/>
      <c r="E40" s="222"/>
      <c r="F40" s="223"/>
      <c r="G40" s="104"/>
      <c r="H40" s="30">
        <f>U40+V40</f>
        <v>0</v>
      </c>
      <c r="I40" s="89"/>
      <c r="J40" s="89"/>
      <c r="K40" s="90"/>
      <c r="L40" s="81"/>
      <c r="M40" s="81"/>
      <c r="N40" s="81"/>
      <c r="O40" s="81"/>
      <c r="P40" s="81"/>
      <c r="Q40" s="81"/>
      <c r="R40" s="81"/>
      <c r="S40" s="81"/>
      <c r="T40" s="81"/>
      <c r="U40" s="80">
        <f t="shared" si="3"/>
        <v>0</v>
      </c>
      <c r="V40" s="72"/>
      <c r="W40" s="91"/>
      <c r="X40" s="91"/>
    </row>
    <row r="41" spans="2:24" x14ac:dyDescent="0.2">
      <c r="B41" s="84"/>
      <c r="C41" s="231" t="s">
        <v>750</v>
      </c>
      <c r="D41" s="232"/>
      <c r="E41" s="232"/>
      <c r="F41" s="233"/>
      <c r="G41" s="104"/>
      <c r="H41" s="30">
        <f t="shared" ref="H41:H65" si="4">U41+V41</f>
        <v>0</v>
      </c>
      <c r="I41" s="89"/>
      <c r="J41" s="89"/>
      <c r="K41" s="90"/>
      <c r="L41" s="81"/>
      <c r="M41" s="81"/>
      <c r="N41" s="81"/>
      <c r="O41" s="81"/>
      <c r="P41" s="81"/>
      <c r="Q41" s="81"/>
      <c r="R41" s="81"/>
      <c r="S41" s="81"/>
      <c r="T41" s="81"/>
      <c r="U41" s="80">
        <f t="shared" ref="U41:U42" si="5">+V41/0.13</f>
        <v>0</v>
      </c>
      <c r="V41" s="72"/>
      <c r="W41" s="91"/>
      <c r="X41" s="91"/>
    </row>
    <row r="42" spans="2:24" ht="13.5" thickBot="1" x14ac:dyDescent="0.25">
      <c r="B42" s="224"/>
      <c r="C42" s="225"/>
      <c r="D42" s="226"/>
      <c r="E42" s="227"/>
      <c r="F42" s="228"/>
      <c r="G42" s="104"/>
      <c r="H42" s="30">
        <f t="shared" si="4"/>
        <v>0</v>
      </c>
      <c r="I42" s="89"/>
      <c r="J42" s="89"/>
      <c r="K42" s="90"/>
      <c r="L42" s="81"/>
      <c r="M42" s="81"/>
      <c r="N42" s="81"/>
      <c r="O42" s="81"/>
      <c r="P42" s="81"/>
      <c r="Q42" s="81"/>
      <c r="R42" s="81"/>
      <c r="S42" s="81"/>
      <c r="T42" s="81"/>
      <c r="U42" s="80">
        <f t="shared" si="5"/>
        <v>0</v>
      </c>
      <c r="V42" s="72"/>
      <c r="W42" s="91"/>
      <c r="X42" s="91"/>
    </row>
    <row r="43" spans="2:24" x14ac:dyDescent="0.2">
      <c r="B43" s="229">
        <v>9</v>
      </c>
      <c r="C43" s="212" t="s">
        <v>751</v>
      </c>
      <c r="D43" s="213">
        <v>45474</v>
      </c>
      <c r="E43" s="214" t="s">
        <v>752</v>
      </c>
      <c r="F43" s="215"/>
      <c r="G43" s="104"/>
      <c r="H43" s="30">
        <f>U43+V43</f>
        <v>2318.3757999999998</v>
      </c>
      <c r="I43" s="89"/>
      <c r="J43" s="89"/>
      <c r="K43" s="90"/>
      <c r="L43" s="81"/>
      <c r="M43" s="81"/>
      <c r="N43" s="81"/>
      <c r="O43" s="81"/>
      <c r="P43" s="81"/>
      <c r="Q43" s="81"/>
      <c r="R43" s="81"/>
      <c r="S43" s="81"/>
      <c r="T43" s="81"/>
      <c r="U43" s="80">
        <v>2051.66</v>
      </c>
      <c r="V43" s="72">
        <f>PRODUCT(U43,0.13)</f>
        <v>266.7158</v>
      </c>
      <c r="W43" s="91"/>
      <c r="X43" s="91"/>
    </row>
    <row r="44" spans="2:24" x14ac:dyDescent="0.2">
      <c r="B44" s="230">
        <v>10</v>
      </c>
      <c r="C44" s="102" t="s">
        <v>753</v>
      </c>
      <c r="D44" s="87">
        <v>45476</v>
      </c>
      <c r="E44" s="75" t="s">
        <v>754</v>
      </c>
      <c r="F44" s="211"/>
      <c r="G44" s="104"/>
      <c r="H44" s="30">
        <f t="shared" si="4"/>
        <v>526.33140000000003</v>
      </c>
      <c r="I44" s="89"/>
      <c r="J44" s="89"/>
      <c r="K44" s="90"/>
      <c r="L44" s="81"/>
      <c r="M44" s="81"/>
      <c r="N44" s="81"/>
      <c r="O44" s="81"/>
      <c r="P44" s="81"/>
      <c r="Q44" s="81"/>
      <c r="R44" s="81"/>
      <c r="S44" s="81"/>
      <c r="T44" s="81"/>
      <c r="U44" s="80">
        <v>465.78</v>
      </c>
      <c r="V44" s="72">
        <f t="shared" ref="V44:V65" si="6">PRODUCT(U44,0.13)</f>
        <v>60.551400000000001</v>
      </c>
      <c r="W44" s="91"/>
      <c r="X44" s="91"/>
    </row>
    <row r="45" spans="2:24" x14ac:dyDescent="0.2">
      <c r="B45" s="230">
        <v>11</v>
      </c>
      <c r="C45" s="102" t="s">
        <v>755</v>
      </c>
      <c r="D45" s="87">
        <v>45477</v>
      </c>
      <c r="E45" s="75" t="s">
        <v>756</v>
      </c>
      <c r="F45" s="211"/>
      <c r="G45" s="104"/>
      <c r="H45" s="30">
        <f t="shared" si="4"/>
        <v>989.64269999999999</v>
      </c>
      <c r="I45" s="89"/>
      <c r="J45" s="89"/>
      <c r="K45" s="90"/>
      <c r="L45" s="81"/>
      <c r="M45" s="81"/>
      <c r="N45" s="81"/>
      <c r="O45" s="81"/>
      <c r="P45" s="81"/>
      <c r="Q45" s="81"/>
      <c r="R45" s="81"/>
      <c r="S45" s="81"/>
      <c r="T45" s="81"/>
      <c r="U45" s="80">
        <v>875.79</v>
      </c>
      <c r="V45" s="72">
        <f t="shared" si="6"/>
        <v>113.8527</v>
      </c>
      <c r="W45" s="91"/>
      <c r="X45" s="91"/>
    </row>
    <row r="46" spans="2:24" x14ac:dyDescent="0.2">
      <c r="B46" s="230">
        <v>12</v>
      </c>
      <c r="C46" s="102" t="s">
        <v>757</v>
      </c>
      <c r="D46" s="87">
        <v>45478</v>
      </c>
      <c r="E46" s="75" t="s">
        <v>758</v>
      </c>
      <c r="F46" s="83"/>
      <c r="G46" s="104"/>
      <c r="H46" s="30">
        <f t="shared" si="4"/>
        <v>1425.7097000000001</v>
      </c>
      <c r="I46" s="89"/>
      <c r="J46" s="89"/>
      <c r="K46" s="90"/>
      <c r="L46" s="81"/>
      <c r="M46" s="81"/>
      <c r="N46" s="81"/>
      <c r="O46" s="81"/>
      <c r="P46" s="81"/>
      <c r="Q46" s="81"/>
      <c r="R46" s="81"/>
      <c r="S46" s="81"/>
      <c r="T46" s="81"/>
      <c r="U46" s="80">
        <v>1261.69</v>
      </c>
      <c r="V46" s="72">
        <f t="shared" si="6"/>
        <v>164.0197</v>
      </c>
      <c r="W46" s="91"/>
      <c r="X46" s="91"/>
    </row>
    <row r="47" spans="2:24" x14ac:dyDescent="0.2">
      <c r="B47" s="230">
        <v>13</v>
      </c>
      <c r="C47" s="102" t="s">
        <v>759</v>
      </c>
      <c r="D47" s="87">
        <v>45480</v>
      </c>
      <c r="E47" s="75" t="s">
        <v>760</v>
      </c>
      <c r="F47" s="75"/>
      <c r="G47" s="104"/>
      <c r="H47" s="30">
        <f t="shared" si="4"/>
        <v>1067.7370000000001</v>
      </c>
      <c r="I47" s="89"/>
      <c r="J47" s="89"/>
      <c r="K47" s="90"/>
      <c r="L47" s="81"/>
      <c r="M47" s="81"/>
      <c r="N47" s="81"/>
      <c r="O47" s="81"/>
      <c r="P47" s="81"/>
      <c r="Q47" s="81"/>
      <c r="R47" s="81"/>
      <c r="S47" s="81"/>
      <c r="T47" s="81"/>
      <c r="U47" s="80">
        <v>944.9</v>
      </c>
      <c r="V47" s="72">
        <f t="shared" si="6"/>
        <v>122.837</v>
      </c>
      <c r="W47" s="91"/>
      <c r="X47" s="91"/>
    </row>
    <row r="48" spans="2:24" x14ac:dyDescent="0.2">
      <c r="B48" s="230">
        <v>14</v>
      </c>
      <c r="C48" s="102" t="s">
        <v>761</v>
      </c>
      <c r="D48" s="87">
        <v>45482</v>
      </c>
      <c r="E48" s="75" t="s">
        <v>762</v>
      </c>
      <c r="F48" s="104"/>
      <c r="G48" s="104"/>
      <c r="H48" s="30">
        <f t="shared" si="4"/>
        <v>2124.9311000000002</v>
      </c>
      <c r="I48" s="89"/>
      <c r="J48" s="89"/>
      <c r="K48" s="90"/>
      <c r="L48" s="81"/>
      <c r="M48" s="81"/>
      <c r="N48" s="81"/>
      <c r="O48" s="81"/>
      <c r="P48" s="81"/>
      <c r="Q48" s="81"/>
      <c r="R48" s="81"/>
      <c r="S48" s="81"/>
      <c r="T48" s="81"/>
      <c r="U48" s="80">
        <v>1880.47</v>
      </c>
      <c r="V48" s="72">
        <f t="shared" si="6"/>
        <v>244.46110000000002</v>
      </c>
      <c r="W48" s="91"/>
      <c r="X48" s="91"/>
    </row>
    <row r="49" spans="2:24" x14ac:dyDescent="0.2">
      <c r="B49" s="230">
        <v>15</v>
      </c>
      <c r="C49" s="102" t="s">
        <v>763</v>
      </c>
      <c r="D49" s="87">
        <v>45489</v>
      </c>
      <c r="E49" s="104" t="s">
        <v>764</v>
      </c>
      <c r="F49" s="104"/>
      <c r="G49" s="104"/>
      <c r="H49" s="30">
        <f t="shared" si="4"/>
        <v>1619.4708000000001</v>
      </c>
      <c r="I49" s="89"/>
      <c r="J49" s="89"/>
      <c r="K49" s="90"/>
      <c r="L49" s="81"/>
      <c r="M49" s="81"/>
      <c r="N49" s="81"/>
      <c r="O49" s="81"/>
      <c r="P49" s="81"/>
      <c r="Q49" s="81"/>
      <c r="R49" s="81"/>
      <c r="S49" s="81"/>
      <c r="T49" s="81"/>
      <c r="U49" s="80">
        <v>1433.16</v>
      </c>
      <c r="V49" s="72">
        <f t="shared" si="6"/>
        <v>186.31080000000003</v>
      </c>
      <c r="W49" s="91"/>
      <c r="X49" s="91"/>
    </row>
    <row r="50" spans="2:24" ht="13.5" thickBot="1" x14ac:dyDescent="0.25">
      <c r="B50" s="230">
        <v>16</v>
      </c>
      <c r="C50" s="102" t="s">
        <v>765</v>
      </c>
      <c r="D50" s="103">
        <v>45494</v>
      </c>
      <c r="E50" s="104" t="s">
        <v>766</v>
      </c>
      <c r="F50" s="104"/>
      <c r="G50" s="104"/>
      <c r="H50" s="30">
        <f t="shared" si="4"/>
        <v>2126.2192999999997</v>
      </c>
      <c r="I50" s="89"/>
      <c r="J50" s="89"/>
      <c r="K50" s="90"/>
      <c r="L50" s="81"/>
      <c r="M50" s="81"/>
      <c r="N50" s="81"/>
      <c r="O50" s="81"/>
      <c r="P50" s="81"/>
      <c r="Q50" s="81"/>
      <c r="R50" s="81"/>
      <c r="S50" s="81"/>
      <c r="T50" s="81"/>
      <c r="U50" s="80">
        <v>1881.61</v>
      </c>
      <c r="V50" s="72">
        <f t="shared" si="6"/>
        <v>244.60929999999999</v>
      </c>
      <c r="W50" s="91"/>
      <c r="X50" s="91"/>
    </row>
    <row r="51" spans="2:24" x14ac:dyDescent="0.2">
      <c r="B51" s="219"/>
      <c r="C51" s="220"/>
      <c r="D51" s="221"/>
      <c r="E51" s="222"/>
      <c r="F51" s="223"/>
      <c r="G51" s="104"/>
      <c r="H51" s="30">
        <f t="shared" si="4"/>
        <v>0</v>
      </c>
      <c r="I51" s="89"/>
      <c r="J51" s="89"/>
      <c r="K51" s="90"/>
      <c r="L51" s="81"/>
      <c r="M51" s="81"/>
      <c r="N51" s="81"/>
      <c r="O51" s="81"/>
      <c r="P51" s="81"/>
      <c r="Q51" s="81"/>
      <c r="R51" s="81"/>
      <c r="S51" s="81"/>
      <c r="T51" s="81"/>
      <c r="U51" s="80">
        <v>0</v>
      </c>
      <c r="V51" s="72">
        <f t="shared" si="6"/>
        <v>0</v>
      </c>
      <c r="W51" s="91"/>
      <c r="X51" s="91"/>
    </row>
    <row r="52" spans="2:24" x14ac:dyDescent="0.2">
      <c r="B52" s="84"/>
      <c r="C52" s="234" t="s">
        <v>767</v>
      </c>
      <c r="D52" s="235"/>
      <c r="E52" s="235"/>
      <c r="F52" s="236"/>
      <c r="G52" s="104"/>
      <c r="H52" s="30">
        <f t="shared" si="4"/>
        <v>0</v>
      </c>
      <c r="I52" s="89"/>
      <c r="J52" s="89"/>
      <c r="K52" s="90"/>
      <c r="L52" s="81"/>
      <c r="M52" s="81"/>
      <c r="N52" s="81"/>
      <c r="O52" s="81"/>
      <c r="P52" s="81"/>
      <c r="Q52" s="81"/>
      <c r="R52" s="81"/>
      <c r="S52" s="81"/>
      <c r="T52" s="81"/>
      <c r="U52" s="80">
        <v>0</v>
      </c>
      <c r="V52" s="72">
        <f t="shared" si="6"/>
        <v>0</v>
      </c>
      <c r="W52" s="91"/>
      <c r="X52" s="91"/>
    </row>
    <row r="53" spans="2:24" ht="13.5" thickBot="1" x14ac:dyDescent="0.25">
      <c r="B53" s="224"/>
      <c r="C53" s="225" t="s">
        <v>768</v>
      </c>
      <c r="D53" s="226"/>
      <c r="E53" s="227"/>
      <c r="F53" s="228"/>
      <c r="G53" s="104"/>
      <c r="H53" s="30">
        <f t="shared" si="4"/>
        <v>0</v>
      </c>
      <c r="I53" s="89"/>
      <c r="J53" s="89"/>
      <c r="K53" s="90"/>
      <c r="L53" s="81"/>
      <c r="M53" s="81"/>
      <c r="N53" s="81"/>
      <c r="O53" s="81"/>
      <c r="P53" s="81"/>
      <c r="Q53" s="81"/>
      <c r="R53" s="81"/>
      <c r="S53" s="81"/>
      <c r="T53" s="81"/>
      <c r="U53" s="80">
        <v>0</v>
      </c>
      <c r="V53" s="72">
        <f t="shared" si="6"/>
        <v>0</v>
      </c>
      <c r="W53" s="91"/>
      <c r="X53" s="91"/>
    </row>
    <row r="54" spans="2:24" x14ac:dyDescent="0.2">
      <c r="B54" s="84">
        <v>17</v>
      </c>
      <c r="C54" s="102"/>
      <c r="D54" s="103"/>
      <c r="E54" s="104"/>
      <c r="F54" s="104"/>
      <c r="G54" s="104"/>
      <c r="H54" s="30">
        <f t="shared" si="4"/>
        <v>0</v>
      </c>
      <c r="I54" s="89"/>
      <c r="J54" s="89"/>
      <c r="K54" s="90"/>
      <c r="L54" s="81"/>
      <c r="M54" s="81"/>
      <c r="N54" s="81"/>
      <c r="O54" s="81"/>
      <c r="P54" s="81"/>
      <c r="Q54" s="81"/>
      <c r="R54" s="81"/>
      <c r="S54" s="81"/>
      <c r="T54" s="81"/>
      <c r="U54" s="80">
        <v>0</v>
      </c>
      <c r="V54" s="72">
        <f t="shared" si="6"/>
        <v>0</v>
      </c>
      <c r="W54" s="91"/>
      <c r="X54" s="91"/>
    </row>
    <row r="55" spans="2:24" x14ac:dyDescent="0.2">
      <c r="B55" s="84">
        <v>18</v>
      </c>
      <c r="C55" s="102"/>
      <c r="D55" s="103"/>
      <c r="E55" s="104"/>
      <c r="F55" s="104"/>
      <c r="G55" s="104"/>
      <c r="H55" s="30">
        <f t="shared" si="4"/>
        <v>0</v>
      </c>
      <c r="I55" s="89"/>
      <c r="J55" s="89"/>
      <c r="K55" s="90"/>
      <c r="L55" s="81"/>
      <c r="M55" s="81"/>
      <c r="N55" s="81"/>
      <c r="O55" s="81"/>
      <c r="P55" s="81"/>
      <c r="Q55" s="81"/>
      <c r="R55" s="81"/>
      <c r="S55" s="81"/>
      <c r="T55" s="81"/>
      <c r="U55" s="80">
        <v>0</v>
      </c>
      <c r="V55" s="72">
        <f t="shared" si="6"/>
        <v>0</v>
      </c>
      <c r="W55" s="91"/>
      <c r="X55" s="91"/>
    </row>
    <row r="56" spans="2:24" x14ac:dyDescent="0.2">
      <c r="B56" s="84">
        <v>19</v>
      </c>
      <c r="C56" s="102"/>
      <c r="D56" s="103"/>
      <c r="E56" s="104"/>
      <c r="F56" s="104"/>
      <c r="G56" s="104"/>
      <c r="H56" s="30">
        <f t="shared" si="4"/>
        <v>0</v>
      </c>
      <c r="I56" s="89"/>
      <c r="J56" s="89"/>
      <c r="K56" s="90"/>
      <c r="L56" s="81"/>
      <c r="M56" s="81"/>
      <c r="N56" s="81"/>
      <c r="O56" s="81"/>
      <c r="P56" s="81"/>
      <c r="Q56" s="81"/>
      <c r="R56" s="81"/>
      <c r="S56" s="81"/>
      <c r="T56" s="81"/>
      <c r="U56" s="80">
        <v>0</v>
      </c>
      <c r="V56" s="72">
        <f t="shared" si="6"/>
        <v>0</v>
      </c>
      <c r="W56" s="91"/>
      <c r="X56" s="91"/>
    </row>
    <row r="57" spans="2:24" x14ac:dyDescent="0.2">
      <c r="B57" s="84">
        <v>20</v>
      </c>
      <c r="C57" s="102"/>
      <c r="D57" s="103"/>
      <c r="E57" s="104"/>
      <c r="F57" s="104"/>
      <c r="G57" s="104"/>
      <c r="H57" s="30">
        <f t="shared" si="4"/>
        <v>0</v>
      </c>
      <c r="I57" s="89"/>
      <c r="J57" s="89"/>
      <c r="K57" s="90"/>
      <c r="L57" s="81"/>
      <c r="M57" s="81"/>
      <c r="N57" s="81"/>
      <c r="O57" s="81"/>
      <c r="P57" s="81"/>
      <c r="Q57" s="81"/>
      <c r="R57" s="81"/>
      <c r="S57" s="81"/>
      <c r="T57" s="81"/>
      <c r="U57" s="80">
        <v>0</v>
      </c>
      <c r="V57" s="72">
        <f t="shared" si="6"/>
        <v>0</v>
      </c>
      <c r="W57" s="91"/>
      <c r="X57" s="91"/>
    </row>
    <row r="58" spans="2:24" x14ac:dyDescent="0.2">
      <c r="B58" s="84">
        <v>21</v>
      </c>
      <c r="C58" s="102"/>
      <c r="D58" s="103"/>
      <c r="E58" s="104"/>
      <c r="F58" s="104"/>
      <c r="G58" s="104"/>
      <c r="H58" s="30">
        <f t="shared" si="4"/>
        <v>0</v>
      </c>
      <c r="I58" s="89"/>
      <c r="J58" s="89"/>
      <c r="K58" s="90"/>
      <c r="L58" s="81"/>
      <c r="M58" s="81"/>
      <c r="N58" s="81"/>
      <c r="O58" s="81"/>
      <c r="P58" s="81"/>
      <c r="Q58" s="81"/>
      <c r="R58" s="81"/>
      <c r="S58" s="81"/>
      <c r="T58" s="81"/>
      <c r="U58" s="80">
        <v>0</v>
      </c>
      <c r="V58" s="72">
        <f t="shared" si="6"/>
        <v>0</v>
      </c>
      <c r="W58" s="91"/>
      <c r="X58" s="91"/>
    </row>
    <row r="59" spans="2:24" x14ac:dyDescent="0.2">
      <c r="B59" s="84">
        <v>22</v>
      </c>
      <c r="C59" s="102"/>
      <c r="D59" s="103"/>
      <c r="E59" s="104"/>
      <c r="F59" s="104"/>
      <c r="G59" s="104"/>
      <c r="H59" s="30">
        <f t="shared" si="4"/>
        <v>0</v>
      </c>
      <c r="I59" s="89"/>
      <c r="J59" s="89"/>
      <c r="K59" s="90"/>
      <c r="L59" s="81"/>
      <c r="M59" s="81"/>
      <c r="N59" s="81"/>
      <c r="O59" s="81"/>
      <c r="P59" s="81"/>
      <c r="Q59" s="81"/>
      <c r="R59" s="81"/>
      <c r="S59" s="81"/>
      <c r="T59" s="81"/>
      <c r="U59" s="80">
        <v>0</v>
      </c>
      <c r="V59" s="72">
        <f t="shared" si="6"/>
        <v>0</v>
      </c>
      <c r="W59" s="91"/>
      <c r="X59" s="91"/>
    </row>
    <row r="60" spans="2:24" x14ac:dyDescent="0.2">
      <c r="B60" s="84">
        <v>23</v>
      </c>
      <c r="C60" s="102"/>
      <c r="D60" s="103"/>
      <c r="E60" s="104"/>
      <c r="F60" s="104"/>
      <c r="G60" s="104"/>
      <c r="H60" s="30">
        <f t="shared" si="4"/>
        <v>0</v>
      </c>
      <c r="I60" s="89"/>
      <c r="J60" s="89"/>
      <c r="K60" s="90"/>
      <c r="L60" s="81"/>
      <c r="M60" s="81"/>
      <c r="N60" s="81"/>
      <c r="O60" s="81"/>
      <c r="P60" s="81"/>
      <c r="Q60" s="81"/>
      <c r="R60" s="81"/>
      <c r="S60" s="81"/>
      <c r="T60" s="81"/>
      <c r="U60" s="80">
        <v>0</v>
      </c>
      <c r="V60" s="72">
        <f t="shared" si="6"/>
        <v>0</v>
      </c>
      <c r="W60" s="91"/>
      <c r="X60" s="91"/>
    </row>
    <row r="61" spans="2:24" x14ac:dyDescent="0.2">
      <c r="B61" s="84">
        <v>24</v>
      </c>
      <c r="C61" s="102"/>
      <c r="D61" s="103"/>
      <c r="E61" s="104"/>
      <c r="F61" s="104"/>
      <c r="G61" s="104"/>
      <c r="H61" s="30">
        <f t="shared" si="4"/>
        <v>0</v>
      </c>
      <c r="I61" s="89"/>
      <c r="J61" s="89"/>
      <c r="K61" s="90"/>
      <c r="L61" s="81"/>
      <c r="M61" s="81"/>
      <c r="N61" s="81"/>
      <c r="O61" s="81"/>
      <c r="P61" s="81"/>
      <c r="Q61" s="81"/>
      <c r="R61" s="81"/>
      <c r="S61" s="81"/>
      <c r="T61" s="81"/>
      <c r="U61" s="80">
        <v>0</v>
      </c>
      <c r="V61" s="72">
        <f t="shared" si="6"/>
        <v>0</v>
      </c>
      <c r="W61" s="91"/>
      <c r="X61" s="91"/>
    </row>
    <row r="62" spans="2:24" x14ac:dyDescent="0.2">
      <c r="B62" s="84">
        <v>25</v>
      </c>
      <c r="C62" s="102"/>
      <c r="D62" s="103"/>
      <c r="E62" s="104"/>
      <c r="F62" s="104"/>
      <c r="G62" s="104"/>
      <c r="H62" s="30">
        <f t="shared" si="4"/>
        <v>0</v>
      </c>
      <c r="I62" s="89"/>
      <c r="J62" s="89"/>
      <c r="K62" s="90"/>
      <c r="L62" s="81"/>
      <c r="M62" s="81"/>
      <c r="N62" s="81"/>
      <c r="O62" s="81"/>
      <c r="P62" s="81"/>
      <c r="Q62" s="81"/>
      <c r="R62" s="81"/>
      <c r="S62" s="81"/>
      <c r="T62" s="81"/>
      <c r="U62" s="80">
        <v>0</v>
      </c>
      <c r="V62" s="72">
        <f t="shared" si="6"/>
        <v>0</v>
      </c>
      <c r="W62" s="91"/>
      <c r="X62" s="91"/>
    </row>
    <row r="63" spans="2:24" x14ac:dyDescent="0.2">
      <c r="B63" s="84">
        <v>26</v>
      </c>
      <c r="C63" s="102"/>
      <c r="D63" s="103"/>
      <c r="E63" s="104"/>
      <c r="F63" s="104"/>
      <c r="G63" s="104"/>
      <c r="H63" s="30">
        <f t="shared" si="4"/>
        <v>0</v>
      </c>
      <c r="I63" s="89"/>
      <c r="J63" s="89"/>
      <c r="K63" s="90"/>
      <c r="L63" s="81"/>
      <c r="M63" s="81"/>
      <c r="N63" s="81"/>
      <c r="O63" s="81"/>
      <c r="P63" s="81"/>
      <c r="Q63" s="81"/>
      <c r="R63" s="81"/>
      <c r="S63" s="81"/>
      <c r="T63" s="81"/>
      <c r="U63" s="80">
        <v>0</v>
      </c>
      <c r="V63" s="72">
        <f t="shared" si="6"/>
        <v>0</v>
      </c>
      <c r="W63" s="91"/>
      <c r="X63" s="91"/>
    </row>
    <row r="64" spans="2:24" x14ac:dyDescent="0.2">
      <c r="B64" s="84">
        <v>27</v>
      </c>
      <c r="C64" s="102"/>
      <c r="D64" s="103"/>
      <c r="E64" s="104"/>
      <c r="F64" s="104"/>
      <c r="G64" s="104"/>
      <c r="H64" s="30">
        <f t="shared" si="4"/>
        <v>0</v>
      </c>
      <c r="I64" s="89"/>
      <c r="J64" s="89"/>
      <c r="K64" s="90"/>
      <c r="L64" s="81"/>
      <c r="M64" s="81"/>
      <c r="N64" s="81"/>
      <c r="O64" s="81"/>
      <c r="P64" s="81"/>
      <c r="Q64" s="81"/>
      <c r="R64" s="81"/>
      <c r="S64" s="81"/>
      <c r="T64" s="81"/>
      <c r="U64" s="80">
        <v>0</v>
      </c>
      <c r="V64" s="72">
        <f t="shared" si="6"/>
        <v>0</v>
      </c>
      <c r="W64" s="91"/>
      <c r="X64" s="91"/>
    </row>
    <row r="65" spans="2:24" ht="13.5" thickBot="1" x14ac:dyDescent="0.25">
      <c r="B65" s="84"/>
      <c r="C65" s="102"/>
      <c r="D65" s="103"/>
      <c r="E65" s="104"/>
      <c r="F65" s="104"/>
      <c r="G65" s="104"/>
      <c r="H65" s="30">
        <f t="shared" si="4"/>
        <v>0</v>
      </c>
      <c r="I65" s="89"/>
      <c r="J65" s="89"/>
      <c r="K65" s="90"/>
      <c r="L65" s="81"/>
      <c r="M65" s="81"/>
      <c r="N65" s="81"/>
      <c r="O65" s="81"/>
      <c r="P65" s="81"/>
      <c r="Q65" s="81"/>
      <c r="R65" s="81"/>
      <c r="S65" s="81"/>
      <c r="T65" s="81"/>
      <c r="U65" s="80">
        <v>0</v>
      </c>
      <c r="V65" s="72">
        <f t="shared" si="6"/>
        <v>0</v>
      </c>
      <c r="W65" s="91"/>
      <c r="X65" s="91"/>
    </row>
    <row r="66" spans="2:24" x14ac:dyDescent="0.2">
      <c r="B66" s="119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</row>
    <row r="67" spans="2:24" x14ac:dyDescent="0.2">
      <c r="B67" s="6" t="s">
        <v>578</v>
      </c>
      <c r="C67" s="6"/>
      <c r="D67" s="6"/>
      <c r="E67" s="6"/>
      <c r="F67" s="6"/>
      <c r="G67" s="6"/>
      <c r="H67" s="82">
        <f>SUM(H29:H65)</f>
        <v>27915.08799230769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82">
        <f>SUM(U29:U65)</f>
        <v>24703.617692307693</v>
      </c>
      <c r="V67" s="82">
        <f>SUM(V29:V65)</f>
        <v>3211.4703</v>
      </c>
      <c r="W67" s="82">
        <f>SUM(W29:W64)</f>
        <v>0</v>
      </c>
      <c r="X67" s="82">
        <f>SUM(X29:X64)</f>
        <v>0</v>
      </c>
    </row>
    <row r="71" spans="2:24" x14ac:dyDescent="0.2">
      <c r="H71" s="35"/>
    </row>
    <row r="72" spans="2:24" x14ac:dyDescent="0.2">
      <c r="G72" s="96"/>
    </row>
    <row r="74" spans="2:24" x14ac:dyDescent="0.2">
      <c r="H74" s="35"/>
      <c r="Q74" s="35"/>
      <c r="S74" s="35"/>
    </row>
    <row r="75" spans="2:24" x14ac:dyDescent="0.2">
      <c r="Q75" s="32"/>
      <c r="S75" s="35"/>
    </row>
    <row r="76" spans="2:24" x14ac:dyDescent="0.2">
      <c r="Q76" s="32"/>
    </row>
  </sheetData>
  <mergeCells count="46">
    <mergeCell ref="U2:V2"/>
    <mergeCell ref="V23:V27"/>
    <mergeCell ref="W23:W27"/>
    <mergeCell ref="X23:X27"/>
    <mergeCell ref="P15:R16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  <mergeCell ref="M21:M27"/>
    <mergeCell ref="N21:N27"/>
    <mergeCell ref="O21:O27"/>
    <mergeCell ref="P21:P27"/>
    <mergeCell ref="M15:O16"/>
    <mergeCell ref="C9:F9"/>
    <mergeCell ref="C10:F10"/>
    <mergeCell ref="C11:F12"/>
    <mergeCell ref="A1:F2"/>
    <mergeCell ref="C3:F3"/>
    <mergeCell ref="C4:F5"/>
    <mergeCell ref="C6:F6"/>
    <mergeCell ref="C7:F8"/>
    <mergeCell ref="C13:F13"/>
    <mergeCell ref="G15:K16"/>
    <mergeCell ref="K21:K27"/>
    <mergeCell ref="L21:L27"/>
    <mergeCell ref="B19:B27"/>
    <mergeCell ref="C19:D20"/>
    <mergeCell ref="E19:G20"/>
    <mergeCell ref="C21:C27"/>
    <mergeCell ref="D21:D27"/>
    <mergeCell ref="E21:F27"/>
    <mergeCell ref="G21:G27"/>
    <mergeCell ref="C41:F41"/>
    <mergeCell ref="C52:F52"/>
    <mergeCell ref="H19:H27"/>
    <mergeCell ref="I21:I27"/>
    <mergeCell ref="J21:J27"/>
    <mergeCell ref="E28:F28"/>
  </mergeCells>
  <pageMargins left="0.70866141732283472" right="1.6929133858267718" top="0.74803149606299213" bottom="0.74803149606299213" header="0.31496062992125984" footer="0.31496062992125984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V77"/>
  <sheetViews>
    <sheetView showZeros="0" topLeftCell="A36" zoomScaleNormal="100" workbookViewId="0">
      <selection activeCell="J75" sqref="J75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9" bestFit="1" customWidth="1"/>
    <col min="11" max="11" width="9.87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271" t="str">
        <f>NASLOV!B5</f>
        <v>Markus Renz</v>
      </c>
      <c r="B1" s="271"/>
      <c r="C1" s="271"/>
      <c r="D1" s="271"/>
      <c r="E1" s="271"/>
      <c r="F1" s="271"/>
    </row>
    <row r="2" spans="1:18" x14ac:dyDescent="0.2">
      <c r="A2" s="271"/>
      <c r="B2" s="271"/>
      <c r="C2" s="271"/>
      <c r="D2" s="271"/>
      <c r="E2" s="271"/>
      <c r="F2" s="271"/>
    </row>
    <row r="3" spans="1:18" x14ac:dyDescent="0.2">
      <c r="C3" s="269" t="str">
        <f>INDEX(PRIJEVODI!B:D,MATCH("URIC-001",PRIJEVODI!A:A,0),MATCH(NASLOV!$B$2,PRIJEVODI!$B$1:$D$1,0))</f>
        <v>STEUERPFLICHTIGER: NAME / NACHNAME</v>
      </c>
      <c r="D3" s="269"/>
      <c r="E3" s="269"/>
      <c r="F3" s="269"/>
      <c r="Q3" s="274"/>
      <c r="R3" s="274"/>
    </row>
    <row r="4" spans="1:18" x14ac:dyDescent="0.2">
      <c r="C4" s="270" t="str">
        <f>NASLOV!B7</f>
        <v>Am Sonnblick 6, Lichtenau</v>
      </c>
      <c r="D4" s="270"/>
      <c r="E4" s="270"/>
      <c r="F4" s="270"/>
    </row>
    <row r="5" spans="1:18" x14ac:dyDescent="0.2">
      <c r="C5" s="270"/>
      <c r="D5" s="270"/>
      <c r="E5" s="270"/>
      <c r="F5" s="270"/>
    </row>
    <row r="6" spans="1:18" x14ac:dyDescent="0.2">
      <c r="C6" s="269" t="str">
        <f>INDEX(PRIJEVODI!B:D,MATCH("URIC-002",PRIJEVODI!A:A,0),MATCH(NASLOV!$B$2,PRIJEVODI!$B$1:$D$1,0))</f>
        <v>ADRESSE: ORT, STRASSE UND HAUSNUMMER</v>
      </c>
      <c r="D6" s="269"/>
      <c r="E6" s="269"/>
      <c r="F6" s="269"/>
    </row>
    <row r="7" spans="1:18" x14ac:dyDescent="0.2">
      <c r="C7" s="272"/>
      <c r="D7" s="272"/>
      <c r="E7" s="272"/>
      <c r="F7" s="272"/>
    </row>
    <row r="8" spans="1:18" x14ac:dyDescent="0.2">
      <c r="C8" s="272"/>
      <c r="D8" s="272"/>
      <c r="E8" s="272"/>
      <c r="F8" s="272"/>
    </row>
    <row r="9" spans="1:18" x14ac:dyDescent="0.2">
      <c r="C9" s="269" t="str">
        <f>INDEX(PRIJEVODI!B:D,MATCH("URIC-003",PRIJEVODI!A:A,0),MATCH(NASLOV!$B$2,PRIJEVODI!$B$1:$D$1,0))</f>
        <v xml:space="preserve">NUMMERIERUNG GEMÄSS DEM NATIONALEN KLASSIFIZIERUNGSSYSTEM  </v>
      </c>
      <c r="D9" s="269"/>
      <c r="E9" s="269"/>
      <c r="F9" s="269"/>
    </row>
    <row r="10" spans="1:18" x14ac:dyDescent="0.2">
      <c r="C10" s="269"/>
      <c r="D10" s="269"/>
      <c r="E10" s="269"/>
      <c r="F10" s="269"/>
    </row>
    <row r="11" spans="1:18" x14ac:dyDescent="0.2">
      <c r="C11" s="270" t="str">
        <f>NASLOV!B9</f>
        <v>HR6411581446</v>
      </c>
      <c r="D11" s="270"/>
      <c r="E11" s="270"/>
      <c r="F11" s="270"/>
    </row>
    <row r="12" spans="1:18" x14ac:dyDescent="0.2">
      <c r="C12" s="270"/>
      <c r="D12" s="270"/>
      <c r="E12" s="270"/>
      <c r="F12" s="270"/>
    </row>
    <row r="13" spans="1:18" x14ac:dyDescent="0.2">
      <c r="C13" s="269" t="str">
        <f>INDEX(PRIJEVODI!B:D,MATCH("URIC-004",PRIJEVODI!A:A,0),MATCH(NASLOV!$B$2,PRIJEVODI!$B$1:$D$1,0))</f>
        <v>STEUERNUMMER (UID)</v>
      </c>
      <c r="D13" s="269"/>
      <c r="E13" s="269"/>
      <c r="F13" s="269"/>
    </row>
    <row r="15" spans="1:18" x14ac:dyDescent="0.2">
      <c r="G15" s="273" t="str">
        <f>INDEX(PRIJEVODI!B:D,MATCH("URIC-005",PRIJEVODI!A:A,0),MATCH(NASLOV!$B$2,PRIJEVODI!$B$1:$D$1,0))</f>
        <v>EINGANGSRECHNUNGBUCH - IG ERWERB</v>
      </c>
      <c r="H15" s="274"/>
      <c r="I15" s="274"/>
      <c r="J15" s="274"/>
      <c r="K15" s="274"/>
      <c r="L15" s="1"/>
    </row>
    <row r="16" spans="1:18" x14ac:dyDescent="0.2">
      <c r="G16" s="274"/>
      <c r="H16" s="274"/>
      <c r="I16" s="274"/>
      <c r="J16" s="274"/>
      <c r="K16" s="274"/>
      <c r="L16" s="1"/>
      <c r="O16" s="274" t="str">
        <f>INDEX(PRIJEVODI!B:D,MATCH("URIC-006",PRIJEVODI!A:A,0),MATCH(NASLOV!$B$2,PRIJEVODI!$B$1:$D$1,0))</f>
        <v>BETRAG IN KUNA UND LIPA</v>
      </c>
      <c r="P16" s="274"/>
      <c r="Q16" s="274"/>
      <c r="R16" s="274"/>
    </row>
    <row r="19" spans="1:22" ht="12.75" customHeight="1" x14ac:dyDescent="0.2">
      <c r="B19" s="243" t="str">
        <f>INDEX(PRIJEVODI!B:D,MATCH("URIC-007",PRIJEVODI!A:A,0),MATCH(NASLOV!$B$2,PRIJEVODI!$B$1:$D$1,0))</f>
        <v xml:space="preserve">ORDNUNGSNUMMER </v>
      </c>
      <c r="C19" s="246" t="str">
        <f>INDEX(PRIJEVODI!B:D,MATCH("URIC-008",PRIJEVODI!A:A,0),MATCH(NASLOV!$B$2,PRIJEVODI!$B$1:$D$1,0))</f>
        <v>RECHNUNG</v>
      </c>
      <c r="D19" s="247"/>
      <c r="E19" s="298" t="str">
        <f>INDEX(PRIJEVODI!B:D,MATCH("URIC-011",PRIJEVODI!A:A,0),MATCH(NASLOV!$B$2,PRIJEVODI!$B$1:$D$1,0))</f>
        <v>LIEFERANT (ANBIETER VON WAREN UND DIENSTLEISTUNGEN)</v>
      </c>
      <c r="F19" s="299"/>
      <c r="G19" s="299"/>
      <c r="H19" s="299"/>
      <c r="I19" s="299"/>
      <c r="J19" s="299"/>
      <c r="K19" s="299"/>
      <c r="L19" s="299"/>
      <c r="M19" s="296"/>
      <c r="N19" s="246" t="str">
        <f>INDEX(PRIJEVODI!B:D,MATCH("URIC-020",PRIJEVODI!A:A,0),MATCH(NASLOV!$B$2,PRIJEVODI!$B$1:$D$1,0))</f>
        <v>STEUER</v>
      </c>
      <c r="O19" s="277"/>
      <c r="P19" s="277"/>
      <c r="Q19" s="277"/>
      <c r="R19" s="277"/>
      <c r="S19" s="283"/>
      <c r="T19" s="294" t="s">
        <v>603</v>
      </c>
      <c r="U19" s="295" t="s">
        <v>604</v>
      </c>
    </row>
    <row r="20" spans="1:22" x14ac:dyDescent="0.2">
      <c r="B20" s="244"/>
      <c r="C20" s="248"/>
      <c r="D20" s="249"/>
      <c r="E20" s="286"/>
      <c r="F20" s="300"/>
      <c r="G20" s="300"/>
      <c r="H20" s="300"/>
      <c r="I20" s="300"/>
      <c r="J20" s="300"/>
      <c r="K20" s="300"/>
      <c r="L20" s="300"/>
      <c r="M20" s="301"/>
      <c r="N20" s="279"/>
      <c r="O20" s="280"/>
      <c r="P20" s="280"/>
      <c r="Q20" s="280"/>
      <c r="R20" s="280"/>
      <c r="S20" s="281"/>
      <c r="T20" s="294"/>
      <c r="U20" s="295"/>
    </row>
    <row r="21" spans="1:22" ht="12.75" customHeight="1" x14ac:dyDescent="0.2">
      <c r="B21" s="244"/>
      <c r="C21" s="256" t="str">
        <f>INDEX(PRIJEVODI!B:D,MATCH("URIC-009",PRIJEVODI!A:A,0),MATCH(NASLOV!$B$2,PRIJEVODI!$B$1:$D$1,0))</f>
        <v xml:space="preserve">NUMMER </v>
      </c>
      <c r="D21" s="256" t="str">
        <f>INDEX(PRIJEVODI!B:D,MATCH("URIC-010",PRIJEVODI!A:A,0),MATCH(NASLOV!$B$2,PRIJEVODI!$B$1:$D$1,0))</f>
        <v>DATUM</v>
      </c>
      <c r="E21" s="259" t="str">
        <f>INDEX(PRIJEVODI!B:D,MATCH("URIC-012",PRIJEVODI!A:A,0),MATCH(NASLOV!$B$2,PRIJEVODI!$B$1:$D$1,0))</f>
        <v>TITEL - NAME UND NACHNAME, GESCHÄFTSSITZ / SITZORT</v>
      </c>
      <c r="F21" s="260"/>
      <c r="G21" s="265" t="str">
        <f>INDEX(PRIJEVODI!B:D,MATCH("URIC-013",PRIJEVODI!A:A,0),MATCH(NASLOV!$B$2,PRIJEVODI!$B$1:$D$1,0))</f>
        <v>STEUERNUMMER (UID)</v>
      </c>
      <c r="H21" s="284" t="str">
        <f>INDEX(PRIJEVODI!B:D,MATCH("URIC-014",PRIJEVODI!A:A,0),MATCH(NASLOV!$B$2,PRIJEVODI!$B$1:$D$1,0))</f>
        <v>LIEFERWERT</v>
      </c>
      <c r="I21" s="299"/>
      <c r="J21" s="296"/>
      <c r="K21" s="265" t="str">
        <f>INDEX(PRIJEVODI!B:D,MATCH("URIC-018",PRIJEVODI!A:A,0),MATCH(NASLOV!$B$2,PRIJEVODI!$B$1:$D$1,0))</f>
        <v>GESAMTBETRAG DER RECHNUNG INKLUSIVE MwST.</v>
      </c>
      <c r="L21" s="45"/>
      <c r="M21" s="256" t="str">
        <f>INDEX(PRIJEVODI!B:D,MATCH("URIC-030",PRIJEVODI!A:A,0),MATCH(NASLOV!$B$2,PRIJEVODI!$B$1:$D$1,0))</f>
        <v>TOTAL</v>
      </c>
      <c r="N21" s="282">
        <v>0.05</v>
      </c>
      <c r="O21" s="283"/>
      <c r="P21" s="282">
        <v>0.13</v>
      </c>
      <c r="Q21" s="283"/>
      <c r="R21" s="282">
        <v>0.25</v>
      </c>
      <c r="S21" s="283"/>
      <c r="T21" s="294"/>
      <c r="U21" s="295"/>
    </row>
    <row r="22" spans="1:22" x14ac:dyDescent="0.2">
      <c r="B22" s="244"/>
      <c r="C22" s="257"/>
      <c r="D22" s="257"/>
      <c r="E22" s="261"/>
      <c r="F22" s="262"/>
      <c r="G22" s="266"/>
      <c r="H22" s="285"/>
      <c r="I22" s="302"/>
      <c r="J22" s="303"/>
      <c r="K22" s="266"/>
      <c r="L22" s="46"/>
      <c r="M22" s="257"/>
      <c r="N22" s="279"/>
      <c r="O22" s="281"/>
      <c r="P22" s="279"/>
      <c r="Q22" s="281"/>
      <c r="R22" s="279"/>
      <c r="S22" s="281"/>
      <c r="T22" s="294"/>
      <c r="U22" s="295"/>
    </row>
    <row r="23" spans="1:22" x14ac:dyDescent="0.2">
      <c r="B23" s="244"/>
      <c r="C23" s="257"/>
      <c r="D23" s="257"/>
      <c r="E23" s="261"/>
      <c r="F23" s="262"/>
      <c r="G23" s="266"/>
      <c r="H23" s="285"/>
      <c r="I23" s="302"/>
      <c r="J23" s="303"/>
      <c r="K23" s="266"/>
      <c r="L23" s="46"/>
      <c r="M23" s="257"/>
      <c r="N23" s="265" t="str">
        <f>INDEX(PRIJEVODI!B:D,MATCH("URIC-022",PRIJEVODI!A:A,0),MATCH(NASLOV!$B$2,PRIJEVODI!$B$1:$D$1,0))</f>
        <v>ABZUGSFÄHIG</v>
      </c>
      <c r="O23" s="265" t="str">
        <f>INDEX(PRIJEVODI!B:D,MATCH("URIC-023",PRIJEVODI!A:A,0),MATCH(NASLOV!$B$2,PRIJEVODI!$B$1:$D$1,0))</f>
        <v>NICHT ABZUGSFÄHIG</v>
      </c>
      <c r="P23" s="265" t="str">
        <f>INDEX(PRIJEVODI!B:D,MATCH("URIC-025",PRIJEVODI!A:A,0),MATCH(NASLOV!$B$2,PRIJEVODI!$B$1:$D$1,0))</f>
        <v>ABZUGSFÄHIG</v>
      </c>
      <c r="Q23" s="265" t="str">
        <f>INDEX(PRIJEVODI!B:D,MATCH("URIC-026",PRIJEVODI!A:A,0),MATCH(NASLOV!$B$2,PRIJEVODI!$B$1:$D$1,0))</f>
        <v>NICHT ABZUGSFÄHIG</v>
      </c>
      <c r="R23" s="265" t="str">
        <f>INDEX(PRIJEVODI!B:D,MATCH("URIC-028",PRIJEVODI!A:A,0),MATCH(NASLOV!$B$2,PRIJEVODI!$B$1:$D$1,0))</f>
        <v>ABZUGSFÄHIG</v>
      </c>
      <c r="S23" s="265" t="str">
        <f>INDEX(PRIJEVODI!B:D,MATCH("URIC-029",PRIJEVODI!A:A,0),MATCH(NASLOV!$B$2,PRIJEVODI!$B$1:$D$1,0))</f>
        <v>NICHT ABZUGSFÄHIG</v>
      </c>
      <c r="T23" s="294"/>
      <c r="U23" s="295"/>
    </row>
    <row r="24" spans="1:22" x14ac:dyDescent="0.2">
      <c r="B24" s="244"/>
      <c r="C24" s="257"/>
      <c r="D24" s="257"/>
      <c r="E24" s="261"/>
      <c r="F24" s="262"/>
      <c r="G24" s="266"/>
      <c r="H24" s="285"/>
      <c r="I24" s="302"/>
      <c r="J24" s="303"/>
      <c r="K24" s="266"/>
      <c r="L24" s="48" t="str">
        <f>INDEX(PRIJEVODI!B:D,MATCH("URIC-019",PRIJEVODI!A:A,0),MATCH(NASLOV!$B$2,PRIJEVODI!$B$1:$D$1,0))</f>
        <v>STEUERBEFREIUNGEN / ABZUGSFÄHIG</v>
      </c>
      <c r="M24" s="257"/>
      <c r="N24" s="266"/>
      <c r="O24" s="266"/>
      <c r="P24" s="266"/>
      <c r="Q24" s="266"/>
      <c r="R24" s="266"/>
      <c r="S24" s="266"/>
      <c r="T24" s="294"/>
      <c r="U24" s="295"/>
    </row>
    <row r="25" spans="1:22" x14ac:dyDescent="0.2">
      <c r="B25" s="244"/>
      <c r="C25" s="257"/>
      <c r="D25" s="257"/>
      <c r="E25" s="261"/>
      <c r="F25" s="262"/>
      <c r="G25" s="266"/>
      <c r="H25" s="286"/>
      <c r="I25" s="300"/>
      <c r="J25" s="301"/>
      <c r="K25" s="266"/>
      <c r="L25" s="46"/>
      <c r="M25" s="257"/>
      <c r="N25" s="266"/>
      <c r="O25" s="266"/>
      <c r="P25" s="266"/>
      <c r="Q25" s="266"/>
      <c r="R25" s="266"/>
      <c r="S25" s="266"/>
      <c r="T25" s="294"/>
      <c r="U25" s="295"/>
    </row>
    <row r="26" spans="1:22" x14ac:dyDescent="0.2">
      <c r="B26" s="244"/>
      <c r="C26" s="257"/>
      <c r="D26" s="257"/>
      <c r="E26" s="261"/>
      <c r="F26" s="262"/>
      <c r="G26" s="266"/>
      <c r="H26" s="297">
        <v>0.05</v>
      </c>
      <c r="I26" s="297">
        <v>0.1</v>
      </c>
      <c r="J26" s="297">
        <v>0.25</v>
      </c>
      <c r="K26" s="266"/>
      <c r="L26" s="46"/>
      <c r="M26" s="257"/>
      <c r="N26" s="266"/>
      <c r="O26" s="266"/>
      <c r="P26" s="266"/>
      <c r="Q26" s="266"/>
      <c r="R26" s="266"/>
      <c r="S26" s="266"/>
      <c r="T26" s="294"/>
      <c r="U26" s="295"/>
    </row>
    <row r="27" spans="1:22" x14ac:dyDescent="0.2">
      <c r="B27" s="245"/>
      <c r="C27" s="258"/>
      <c r="D27" s="258"/>
      <c r="E27" s="263"/>
      <c r="F27" s="264"/>
      <c r="G27" s="267"/>
      <c r="H27" s="258"/>
      <c r="I27" s="258"/>
      <c r="J27" s="258"/>
      <c r="K27" s="267"/>
      <c r="L27" s="47"/>
      <c r="M27" s="258"/>
      <c r="N27" s="267"/>
      <c r="O27" s="267"/>
      <c r="P27" s="267"/>
      <c r="Q27" s="267"/>
      <c r="R27" s="267"/>
      <c r="S27" s="267"/>
      <c r="T27" s="294"/>
      <c r="U27" s="295"/>
    </row>
    <row r="28" spans="1:22" x14ac:dyDescent="0.2">
      <c r="A28" t="s">
        <v>606</v>
      </c>
      <c r="B28" s="33">
        <v>1</v>
      </c>
      <c r="C28" s="33">
        <v>2</v>
      </c>
      <c r="D28" s="33">
        <v>3</v>
      </c>
      <c r="E28" s="284">
        <v>4</v>
      </c>
      <c r="F28" s="296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  <c r="T28" s="294"/>
      <c r="U28" s="295"/>
      <c r="V28" s="1" t="s">
        <v>581</v>
      </c>
    </row>
    <row r="29" spans="1:22" x14ac:dyDescent="0.2">
      <c r="A29" s="1"/>
      <c r="B29" s="3"/>
      <c r="C29" s="117"/>
      <c r="D29" s="39"/>
      <c r="E29" s="107"/>
      <c r="F29" s="2"/>
      <c r="G29" s="74"/>
      <c r="H29" s="2"/>
      <c r="I29" s="2"/>
      <c r="J29" s="108">
        <f>+V29*U29</f>
        <v>0</v>
      </c>
      <c r="K29" s="30">
        <f>J29+M29</f>
        <v>0</v>
      </c>
      <c r="L29" s="34"/>
      <c r="M29" s="114">
        <f>SUM(N29:S29)</f>
        <v>0</v>
      </c>
      <c r="N29" s="2"/>
      <c r="O29" s="2"/>
      <c r="P29" s="2"/>
      <c r="Q29" s="2"/>
      <c r="R29" s="30">
        <f>J29*0.25</f>
        <v>0</v>
      </c>
      <c r="S29" s="2"/>
      <c r="T29" t="s">
        <v>602</v>
      </c>
      <c r="U29" s="109">
        <v>1</v>
      </c>
    </row>
    <row r="30" spans="1:22" x14ac:dyDescent="0.2">
      <c r="A30" s="1"/>
      <c r="B30" s="5"/>
      <c r="C30" s="78"/>
      <c r="D30" s="39"/>
      <c r="E30" s="107"/>
      <c r="F30" s="2"/>
      <c r="G30" s="74"/>
      <c r="H30" s="2"/>
      <c r="I30" s="2"/>
      <c r="J30" s="108">
        <f>+V30*U30</f>
        <v>0</v>
      </c>
      <c r="K30" s="30">
        <f>J30+M30</f>
        <v>0</v>
      </c>
      <c r="L30" s="34"/>
      <c r="M30" s="114">
        <f t="shared" ref="M30:M42" si="0">SUM(N30:S30)</f>
        <v>0</v>
      </c>
      <c r="N30" s="2"/>
      <c r="O30" s="2"/>
      <c r="P30" s="2"/>
      <c r="Q30" s="2"/>
      <c r="R30" s="30">
        <f t="shared" ref="R30:R42" si="1">J30*0.25</f>
        <v>0</v>
      </c>
      <c r="S30" s="2"/>
      <c r="T30" t="s">
        <v>602</v>
      </c>
      <c r="U30" s="109">
        <v>1</v>
      </c>
    </row>
    <row r="31" spans="1:22" x14ac:dyDescent="0.2">
      <c r="A31" s="191">
        <v>85</v>
      </c>
      <c r="B31" s="5">
        <v>17</v>
      </c>
      <c r="C31" s="78">
        <v>1597999873</v>
      </c>
      <c r="D31" s="39">
        <v>45202</v>
      </c>
      <c r="E31" s="107" t="s">
        <v>615</v>
      </c>
      <c r="F31" s="2" t="s">
        <v>616</v>
      </c>
      <c r="G31" s="74" t="s">
        <v>596</v>
      </c>
      <c r="H31" s="2"/>
      <c r="I31" s="2"/>
      <c r="J31" s="108">
        <f t="shared" ref="J31:J42" si="2">+V31*U31</f>
        <v>497.37</v>
      </c>
      <c r="K31" s="30">
        <f t="shared" ref="K31:K42" si="3">J31+M31</f>
        <v>621.71249999999998</v>
      </c>
      <c r="L31" s="34"/>
      <c r="M31" s="114">
        <f t="shared" si="0"/>
        <v>124.3425</v>
      </c>
      <c r="N31" s="2"/>
      <c r="O31" s="2"/>
      <c r="P31" s="2"/>
      <c r="Q31" s="2"/>
      <c r="R31" s="30">
        <f t="shared" si="1"/>
        <v>124.3425</v>
      </c>
      <c r="S31" s="2"/>
      <c r="T31" t="s">
        <v>602</v>
      </c>
      <c r="U31" s="109">
        <v>1</v>
      </c>
      <c r="V31">
        <v>497.37</v>
      </c>
    </row>
    <row r="32" spans="1:22" ht="13.5" thickBot="1" x14ac:dyDescent="0.25">
      <c r="A32" s="193">
        <v>86</v>
      </c>
      <c r="B32" s="165">
        <v>18</v>
      </c>
      <c r="C32" s="166" t="s">
        <v>617</v>
      </c>
      <c r="D32" s="159">
        <v>45207</v>
      </c>
      <c r="E32" s="158" t="s">
        <v>618</v>
      </c>
      <c r="F32" s="160" t="s">
        <v>619</v>
      </c>
      <c r="G32" s="167" t="s">
        <v>620</v>
      </c>
      <c r="H32" s="2"/>
      <c r="I32" s="2"/>
      <c r="J32" s="108">
        <f t="shared" si="2"/>
        <v>723.31</v>
      </c>
      <c r="K32" s="30">
        <f t="shared" si="3"/>
        <v>904.13749999999993</v>
      </c>
      <c r="L32" s="34"/>
      <c r="M32" s="114">
        <f t="shared" si="0"/>
        <v>180.82749999999999</v>
      </c>
      <c r="N32" s="2"/>
      <c r="O32" s="2"/>
      <c r="P32" s="2"/>
      <c r="Q32" s="2"/>
      <c r="R32" s="30">
        <f t="shared" si="1"/>
        <v>180.82749999999999</v>
      </c>
      <c r="S32" s="2"/>
      <c r="T32" t="s">
        <v>602</v>
      </c>
      <c r="U32" s="109">
        <v>1</v>
      </c>
      <c r="V32">
        <v>723.31</v>
      </c>
    </row>
    <row r="33" spans="1:22" x14ac:dyDescent="0.2">
      <c r="A33" s="191"/>
      <c r="B33" s="134"/>
      <c r="C33" s="162"/>
      <c r="D33" s="141"/>
      <c r="E33" s="137"/>
      <c r="F33" s="154"/>
      <c r="G33" s="163"/>
      <c r="H33" s="2"/>
      <c r="I33" s="2"/>
      <c r="J33" s="108">
        <f t="shared" si="2"/>
        <v>0</v>
      </c>
      <c r="K33" s="30">
        <f t="shared" si="3"/>
        <v>0</v>
      </c>
      <c r="L33" s="34"/>
      <c r="M33" s="114">
        <f t="shared" si="0"/>
        <v>0</v>
      </c>
      <c r="N33" s="2"/>
      <c r="O33" s="2"/>
      <c r="P33" s="2"/>
      <c r="Q33" s="2"/>
      <c r="R33" s="30">
        <f t="shared" si="1"/>
        <v>0</v>
      </c>
      <c r="S33" s="2"/>
      <c r="T33" t="s">
        <v>602</v>
      </c>
      <c r="U33" s="109">
        <v>1</v>
      </c>
    </row>
    <row r="34" spans="1:22" ht="13.5" thickBot="1" x14ac:dyDescent="0.25">
      <c r="A34" s="191">
        <v>5</v>
      </c>
      <c r="B34" s="133">
        <v>1</v>
      </c>
      <c r="C34" s="171">
        <v>757542534</v>
      </c>
      <c r="D34" s="149">
        <v>45310</v>
      </c>
      <c r="E34" s="148" t="s">
        <v>647</v>
      </c>
      <c r="F34" s="145" t="s">
        <v>648</v>
      </c>
      <c r="G34" s="126" t="s">
        <v>649</v>
      </c>
      <c r="H34" s="2"/>
      <c r="I34" s="2"/>
      <c r="J34" s="108">
        <f t="shared" si="2"/>
        <v>85.34</v>
      </c>
      <c r="K34" s="30">
        <f t="shared" si="3"/>
        <v>106.67500000000001</v>
      </c>
      <c r="L34" s="34"/>
      <c r="M34" s="114">
        <f t="shared" si="0"/>
        <v>21.335000000000001</v>
      </c>
      <c r="N34" s="2"/>
      <c r="O34" s="2"/>
      <c r="P34" s="2"/>
      <c r="Q34" s="2"/>
      <c r="R34" s="30">
        <f t="shared" si="1"/>
        <v>21.335000000000001</v>
      </c>
      <c r="S34" s="2"/>
      <c r="T34" t="s">
        <v>602</v>
      </c>
      <c r="U34" s="109">
        <v>1</v>
      </c>
      <c r="V34">
        <v>85.34</v>
      </c>
    </row>
    <row r="35" spans="1:22" x14ac:dyDescent="0.2">
      <c r="A35" s="194">
        <v>11</v>
      </c>
      <c r="B35" s="18">
        <v>2</v>
      </c>
      <c r="C35" s="172" t="s">
        <v>654</v>
      </c>
      <c r="D35" s="150">
        <v>45323</v>
      </c>
      <c r="E35" s="143" t="s">
        <v>655</v>
      </c>
      <c r="F35" s="151" t="s">
        <v>656</v>
      </c>
      <c r="G35" s="121" t="s">
        <v>657</v>
      </c>
      <c r="H35" s="2"/>
      <c r="I35" s="2"/>
      <c r="J35" s="108">
        <f t="shared" si="2"/>
        <v>1.8</v>
      </c>
      <c r="K35" s="30">
        <f t="shared" si="3"/>
        <v>2.25</v>
      </c>
      <c r="L35" s="34"/>
      <c r="M35" s="114">
        <f t="shared" si="0"/>
        <v>0.45</v>
      </c>
      <c r="N35" s="2"/>
      <c r="O35" s="2"/>
      <c r="P35" s="2"/>
      <c r="Q35" s="2"/>
      <c r="R35" s="30">
        <f t="shared" si="1"/>
        <v>0.45</v>
      </c>
      <c r="S35" s="2"/>
      <c r="T35" t="s">
        <v>602</v>
      </c>
      <c r="U35" s="109">
        <v>1</v>
      </c>
      <c r="V35">
        <v>1.8</v>
      </c>
    </row>
    <row r="36" spans="1:22" x14ac:dyDescent="0.2">
      <c r="A36" s="191">
        <v>12</v>
      </c>
      <c r="B36" s="5">
        <v>3</v>
      </c>
      <c r="C36" s="78" t="s">
        <v>658</v>
      </c>
      <c r="D36" s="39">
        <v>45324</v>
      </c>
      <c r="E36" s="107" t="s">
        <v>659</v>
      </c>
      <c r="F36" s="2" t="s">
        <v>660</v>
      </c>
      <c r="G36" s="74" t="s">
        <v>661</v>
      </c>
      <c r="H36" s="2"/>
      <c r="I36" s="2"/>
      <c r="J36" s="108">
        <f t="shared" si="2"/>
        <v>144.38</v>
      </c>
      <c r="K36" s="30">
        <f t="shared" si="3"/>
        <v>180.47499999999999</v>
      </c>
      <c r="L36" s="34"/>
      <c r="M36" s="114">
        <f t="shared" si="0"/>
        <v>36.094999999999999</v>
      </c>
      <c r="N36" s="2"/>
      <c r="O36" s="2"/>
      <c r="P36" s="2"/>
      <c r="Q36" s="2"/>
      <c r="R36" s="30">
        <f t="shared" si="1"/>
        <v>36.094999999999999</v>
      </c>
      <c r="S36" s="2"/>
      <c r="U36" s="109">
        <v>1</v>
      </c>
      <c r="V36">
        <v>144.38</v>
      </c>
    </row>
    <row r="37" spans="1:22" x14ac:dyDescent="0.2">
      <c r="A37" s="191">
        <v>13</v>
      </c>
      <c r="B37" s="5">
        <v>4</v>
      </c>
      <c r="C37" s="78">
        <v>109400722718</v>
      </c>
      <c r="D37" s="39">
        <v>45327</v>
      </c>
      <c r="E37" s="107" t="s">
        <v>662</v>
      </c>
      <c r="F37" s="2" t="s">
        <v>663</v>
      </c>
      <c r="G37" s="74" t="s">
        <v>664</v>
      </c>
      <c r="H37" s="2"/>
      <c r="I37" s="2"/>
      <c r="J37" s="108">
        <f t="shared" si="2"/>
        <v>510.92</v>
      </c>
      <c r="K37" s="30">
        <f t="shared" si="3"/>
        <v>638.65</v>
      </c>
      <c r="L37" s="34"/>
      <c r="M37" s="114">
        <f t="shared" si="0"/>
        <v>127.73</v>
      </c>
      <c r="N37" s="2"/>
      <c r="O37" s="2"/>
      <c r="P37" s="2"/>
      <c r="Q37" s="2"/>
      <c r="R37" s="30">
        <f t="shared" si="1"/>
        <v>127.73</v>
      </c>
      <c r="S37" s="2"/>
      <c r="T37" t="s">
        <v>602</v>
      </c>
      <c r="U37" s="109">
        <v>1</v>
      </c>
      <c r="V37">
        <v>510.92</v>
      </c>
    </row>
    <row r="38" spans="1:22" x14ac:dyDescent="0.2">
      <c r="A38" s="191">
        <v>20</v>
      </c>
      <c r="B38" s="5">
        <v>5</v>
      </c>
      <c r="C38" s="78">
        <v>20231670</v>
      </c>
      <c r="D38" s="39">
        <v>45343</v>
      </c>
      <c r="E38" s="107" t="s">
        <v>669</v>
      </c>
      <c r="F38" s="2" t="s">
        <v>670</v>
      </c>
      <c r="G38" s="74" t="s">
        <v>671</v>
      </c>
      <c r="H38" s="2"/>
      <c r="I38" s="2"/>
      <c r="J38" s="108">
        <f t="shared" si="2"/>
        <v>1699.44</v>
      </c>
      <c r="K38" s="30">
        <f t="shared" si="3"/>
        <v>2124.3000000000002</v>
      </c>
      <c r="L38" s="34"/>
      <c r="M38" s="114">
        <f t="shared" si="0"/>
        <v>424.86</v>
      </c>
      <c r="N38" s="2"/>
      <c r="O38" s="2"/>
      <c r="P38" s="2"/>
      <c r="Q38" s="2"/>
      <c r="R38" s="30">
        <f t="shared" si="1"/>
        <v>424.86</v>
      </c>
      <c r="S38" s="2"/>
      <c r="T38" t="s">
        <v>602</v>
      </c>
      <c r="U38" s="109">
        <v>1</v>
      </c>
      <c r="V38">
        <v>1699.44</v>
      </c>
    </row>
    <row r="39" spans="1:22" x14ac:dyDescent="0.2">
      <c r="A39" s="191">
        <v>21</v>
      </c>
      <c r="B39" s="5">
        <v>6</v>
      </c>
      <c r="C39" s="78">
        <v>20231671</v>
      </c>
      <c r="D39" s="39">
        <v>45343</v>
      </c>
      <c r="E39" s="107" t="s">
        <v>669</v>
      </c>
      <c r="F39" s="2" t="s">
        <v>670</v>
      </c>
      <c r="G39" s="74" t="s">
        <v>671</v>
      </c>
      <c r="H39" s="2"/>
      <c r="I39" s="2"/>
      <c r="J39" s="108">
        <f t="shared" si="2"/>
        <v>865.8</v>
      </c>
      <c r="K39" s="30">
        <f t="shared" si="3"/>
        <v>1082.25</v>
      </c>
      <c r="L39" s="34"/>
      <c r="M39" s="114">
        <f t="shared" si="0"/>
        <v>216.45</v>
      </c>
      <c r="N39" s="2"/>
      <c r="O39" s="2"/>
      <c r="P39" s="2"/>
      <c r="Q39" s="2"/>
      <c r="R39" s="30">
        <f t="shared" si="1"/>
        <v>216.45</v>
      </c>
      <c r="S39" s="2"/>
      <c r="T39" t="s">
        <v>602</v>
      </c>
      <c r="U39" s="109">
        <v>1</v>
      </c>
      <c r="V39">
        <v>865.8</v>
      </c>
    </row>
    <row r="40" spans="1:22" ht="13.5" thickBot="1" x14ac:dyDescent="0.25">
      <c r="A40" s="191">
        <v>22</v>
      </c>
      <c r="B40" s="133">
        <v>7</v>
      </c>
      <c r="C40" s="171" t="s">
        <v>672</v>
      </c>
      <c r="D40" s="149">
        <v>45348</v>
      </c>
      <c r="E40" s="148" t="s">
        <v>673</v>
      </c>
      <c r="F40" s="145" t="s">
        <v>674</v>
      </c>
      <c r="G40" s="126" t="s">
        <v>675</v>
      </c>
      <c r="H40" s="2"/>
      <c r="I40" s="2"/>
      <c r="J40" s="108">
        <f t="shared" si="2"/>
        <v>420</v>
      </c>
      <c r="K40" s="30">
        <f t="shared" si="3"/>
        <v>525</v>
      </c>
      <c r="L40" s="34"/>
      <c r="M40" s="114">
        <f t="shared" si="0"/>
        <v>105</v>
      </c>
      <c r="N40" s="2"/>
      <c r="O40" s="2"/>
      <c r="P40" s="2"/>
      <c r="Q40" s="2"/>
      <c r="R40" s="30">
        <f t="shared" si="1"/>
        <v>105</v>
      </c>
      <c r="S40" s="2"/>
      <c r="T40" t="s">
        <v>602</v>
      </c>
      <c r="U40" s="109">
        <v>1</v>
      </c>
      <c r="V40">
        <v>420</v>
      </c>
    </row>
    <row r="41" spans="1:22" x14ac:dyDescent="0.2">
      <c r="A41" s="194">
        <v>28</v>
      </c>
      <c r="B41" s="18">
        <v>8</v>
      </c>
      <c r="C41" s="172" t="s">
        <v>680</v>
      </c>
      <c r="D41" s="150">
        <v>45352</v>
      </c>
      <c r="E41" s="143" t="s">
        <v>655</v>
      </c>
      <c r="F41" s="151" t="s">
        <v>656</v>
      </c>
      <c r="G41" s="121" t="s">
        <v>657</v>
      </c>
      <c r="H41" s="2"/>
      <c r="I41" s="2"/>
      <c r="J41" s="108">
        <f t="shared" si="2"/>
        <v>6.33</v>
      </c>
      <c r="K41" s="30">
        <f t="shared" si="3"/>
        <v>7.9124999999999996</v>
      </c>
      <c r="L41" s="34"/>
      <c r="M41" s="114">
        <f t="shared" si="0"/>
        <v>1.5825</v>
      </c>
      <c r="N41" s="2"/>
      <c r="O41" s="2"/>
      <c r="P41" s="2"/>
      <c r="Q41" s="2"/>
      <c r="R41" s="30">
        <f t="shared" si="1"/>
        <v>1.5825</v>
      </c>
      <c r="S41" s="2"/>
      <c r="T41" t="s">
        <v>602</v>
      </c>
      <c r="U41" s="109">
        <v>1</v>
      </c>
      <c r="V41">
        <v>6.33</v>
      </c>
    </row>
    <row r="42" spans="1:22" x14ac:dyDescent="0.2">
      <c r="A42" s="191">
        <v>29</v>
      </c>
      <c r="B42" s="5">
        <v>9</v>
      </c>
      <c r="C42" s="78" t="s">
        <v>681</v>
      </c>
      <c r="D42" s="39">
        <v>45356</v>
      </c>
      <c r="E42" s="107" t="s">
        <v>659</v>
      </c>
      <c r="F42" s="2" t="s">
        <v>660</v>
      </c>
      <c r="G42" s="74" t="s">
        <v>661</v>
      </c>
      <c r="H42" s="2"/>
      <c r="I42" s="2"/>
      <c r="J42" s="108">
        <f t="shared" si="2"/>
        <v>144.38</v>
      </c>
      <c r="K42" s="30">
        <f t="shared" si="3"/>
        <v>180.47499999999999</v>
      </c>
      <c r="L42" s="34"/>
      <c r="M42" s="114">
        <f t="shared" si="0"/>
        <v>36.094999999999999</v>
      </c>
      <c r="N42" s="2"/>
      <c r="O42" s="2"/>
      <c r="P42" s="2"/>
      <c r="Q42" s="2"/>
      <c r="R42" s="30">
        <f t="shared" si="1"/>
        <v>36.094999999999999</v>
      </c>
      <c r="S42" s="2"/>
      <c r="T42" t="s">
        <v>602</v>
      </c>
      <c r="U42" s="109">
        <v>1</v>
      </c>
      <c r="V42">
        <v>144.38</v>
      </c>
    </row>
    <row r="43" spans="1:22" x14ac:dyDescent="0.2">
      <c r="A43" s="191">
        <v>34</v>
      </c>
      <c r="B43" s="5">
        <v>10</v>
      </c>
      <c r="C43" s="78">
        <v>92024</v>
      </c>
      <c r="D43" s="39">
        <v>45358</v>
      </c>
      <c r="E43" s="107" t="s">
        <v>688</v>
      </c>
      <c r="F43" s="2" t="s">
        <v>689</v>
      </c>
      <c r="G43" s="74" t="s">
        <v>690</v>
      </c>
      <c r="H43" s="2"/>
      <c r="I43" s="2"/>
      <c r="J43" s="108">
        <f t="shared" ref="J43" si="4">+V43*U43</f>
        <v>396</v>
      </c>
      <c r="K43" s="30">
        <f t="shared" ref="K43" si="5">J43+M43</f>
        <v>495</v>
      </c>
      <c r="L43" s="34"/>
      <c r="M43" s="114">
        <f t="shared" ref="M43" si="6">SUM(N43:S43)</f>
        <v>99</v>
      </c>
      <c r="N43" s="2"/>
      <c r="O43" s="2"/>
      <c r="P43" s="2"/>
      <c r="Q43" s="2"/>
      <c r="R43" s="30">
        <f t="shared" ref="R43" si="7">J43*0.25</f>
        <v>99</v>
      </c>
      <c r="S43" s="2"/>
      <c r="T43" t="s">
        <v>602</v>
      </c>
      <c r="U43" s="109">
        <v>1</v>
      </c>
      <c r="V43">
        <v>396</v>
      </c>
    </row>
    <row r="44" spans="1:22" ht="13.5" thickBot="1" x14ac:dyDescent="0.25">
      <c r="A44" s="191">
        <v>35</v>
      </c>
      <c r="B44" s="133">
        <v>11</v>
      </c>
      <c r="C44" s="171" t="s">
        <v>682</v>
      </c>
      <c r="D44" s="149">
        <v>45375</v>
      </c>
      <c r="E44" s="148" t="s">
        <v>683</v>
      </c>
      <c r="F44" s="145" t="s">
        <v>684</v>
      </c>
      <c r="G44" s="126" t="s">
        <v>685</v>
      </c>
      <c r="H44" s="2"/>
      <c r="I44" s="2"/>
      <c r="J44" s="108">
        <f t="shared" ref="J44" si="8">+V44*U44</f>
        <v>235</v>
      </c>
      <c r="K44" s="30">
        <f t="shared" ref="K44" si="9">J44+M44</f>
        <v>293.75</v>
      </c>
      <c r="L44" s="34"/>
      <c r="M44" s="114">
        <f t="shared" ref="M44" si="10">SUM(N44:S44)</f>
        <v>58.75</v>
      </c>
      <c r="N44" s="2"/>
      <c r="O44" s="2"/>
      <c r="P44" s="2"/>
      <c r="Q44" s="2"/>
      <c r="R44" s="30">
        <f t="shared" ref="R44" si="11">J44*0.25</f>
        <v>58.75</v>
      </c>
      <c r="S44" s="2"/>
      <c r="T44" t="s">
        <v>602</v>
      </c>
      <c r="U44" s="109">
        <v>1</v>
      </c>
      <c r="V44">
        <v>235</v>
      </c>
    </row>
    <row r="45" spans="1:22" x14ac:dyDescent="0.2">
      <c r="A45" s="194">
        <v>41</v>
      </c>
      <c r="B45" s="18">
        <v>12</v>
      </c>
      <c r="C45" s="172" t="s">
        <v>686</v>
      </c>
      <c r="D45" s="150">
        <v>45383</v>
      </c>
      <c r="E45" s="143" t="s">
        <v>655</v>
      </c>
      <c r="F45" s="151" t="s">
        <v>656</v>
      </c>
      <c r="G45" s="121" t="s">
        <v>657</v>
      </c>
      <c r="H45" s="2"/>
      <c r="I45" s="2"/>
      <c r="J45" s="108">
        <f t="shared" ref="J45:J49" si="12">+V45*U45</f>
        <v>4.45</v>
      </c>
      <c r="K45" s="30">
        <f t="shared" ref="K45:K49" si="13">J45+M45</f>
        <v>5.5625</v>
      </c>
      <c r="L45" s="34"/>
      <c r="M45" s="114">
        <f t="shared" ref="M45:M49" si="14">SUM(N45:S45)</f>
        <v>1.1125</v>
      </c>
      <c r="N45" s="2"/>
      <c r="O45" s="2"/>
      <c r="P45" s="2"/>
      <c r="Q45" s="2"/>
      <c r="R45" s="30">
        <f t="shared" ref="R45:R49" si="15">J45*0.25</f>
        <v>1.1125</v>
      </c>
      <c r="S45" s="2"/>
      <c r="T45" t="s">
        <v>602</v>
      </c>
      <c r="U45" s="109">
        <v>1</v>
      </c>
      <c r="V45">
        <v>4.45</v>
      </c>
    </row>
    <row r="46" spans="1:22" x14ac:dyDescent="0.2">
      <c r="A46" s="191">
        <v>42</v>
      </c>
      <c r="B46" s="5">
        <v>13</v>
      </c>
      <c r="C46" s="78" t="s">
        <v>687</v>
      </c>
      <c r="D46" s="39">
        <v>45385</v>
      </c>
      <c r="E46" s="107" t="s">
        <v>659</v>
      </c>
      <c r="F46" s="2" t="s">
        <v>660</v>
      </c>
      <c r="G46" s="74" t="s">
        <v>661</v>
      </c>
      <c r="H46" s="2"/>
      <c r="I46" s="2"/>
      <c r="J46" s="108">
        <f t="shared" si="12"/>
        <v>288.76</v>
      </c>
      <c r="K46" s="30">
        <f t="shared" si="13"/>
        <v>360.95</v>
      </c>
      <c r="L46" s="34"/>
      <c r="M46" s="114">
        <f t="shared" si="14"/>
        <v>72.19</v>
      </c>
      <c r="N46" s="2"/>
      <c r="O46" s="2"/>
      <c r="P46" s="2"/>
      <c r="Q46" s="2"/>
      <c r="R46" s="30">
        <f t="shared" si="15"/>
        <v>72.19</v>
      </c>
      <c r="S46" s="2"/>
      <c r="T46" t="s">
        <v>602</v>
      </c>
      <c r="U46" s="109">
        <v>1</v>
      </c>
      <c r="V46">
        <v>288.76</v>
      </c>
    </row>
    <row r="47" spans="1:22" x14ac:dyDescent="0.2">
      <c r="A47" s="191">
        <v>47</v>
      </c>
      <c r="B47" s="5">
        <v>14</v>
      </c>
      <c r="C47" s="78">
        <v>109400731648</v>
      </c>
      <c r="D47" s="39">
        <v>45397</v>
      </c>
      <c r="E47" s="107" t="s">
        <v>662</v>
      </c>
      <c r="F47" s="2" t="s">
        <v>663</v>
      </c>
      <c r="G47" s="74" t="s">
        <v>664</v>
      </c>
      <c r="H47" s="2"/>
      <c r="I47" s="2"/>
      <c r="J47" s="108">
        <f t="shared" si="12"/>
        <v>323.66000000000003</v>
      </c>
      <c r="K47" s="30">
        <f t="shared" si="13"/>
        <v>404.57500000000005</v>
      </c>
      <c r="L47" s="34"/>
      <c r="M47" s="114">
        <f t="shared" si="14"/>
        <v>80.915000000000006</v>
      </c>
      <c r="N47" s="2"/>
      <c r="O47" s="2"/>
      <c r="P47" s="2"/>
      <c r="Q47" s="2"/>
      <c r="R47" s="30">
        <f t="shared" si="15"/>
        <v>80.915000000000006</v>
      </c>
      <c r="S47" s="2"/>
      <c r="T47" t="s">
        <v>602</v>
      </c>
      <c r="U47" s="109">
        <v>1</v>
      </c>
      <c r="V47">
        <v>323.66000000000003</v>
      </c>
    </row>
    <row r="48" spans="1:22" x14ac:dyDescent="0.2">
      <c r="A48" s="191">
        <v>48</v>
      </c>
      <c r="B48" s="5">
        <v>15</v>
      </c>
      <c r="C48" s="78">
        <v>42001650</v>
      </c>
      <c r="D48" s="39">
        <v>45405</v>
      </c>
      <c r="E48" s="107" t="s">
        <v>692</v>
      </c>
      <c r="F48" s="2" t="s">
        <v>693</v>
      </c>
      <c r="G48" s="74" t="s">
        <v>694</v>
      </c>
      <c r="H48" s="2"/>
      <c r="I48" s="2"/>
      <c r="J48" s="108">
        <f t="shared" si="12"/>
        <v>23.06</v>
      </c>
      <c r="K48" s="30">
        <f t="shared" si="13"/>
        <v>28.824999999999999</v>
      </c>
      <c r="L48" s="34"/>
      <c r="M48" s="114">
        <f t="shared" si="14"/>
        <v>5.7649999999999997</v>
      </c>
      <c r="N48" s="2"/>
      <c r="O48" s="2"/>
      <c r="P48" s="2"/>
      <c r="Q48" s="2"/>
      <c r="R48" s="30">
        <f t="shared" si="15"/>
        <v>5.7649999999999997</v>
      </c>
      <c r="S48" s="2"/>
      <c r="T48" t="s">
        <v>602</v>
      </c>
      <c r="U48" s="109">
        <v>1</v>
      </c>
      <c r="V48">
        <v>23.06</v>
      </c>
    </row>
    <row r="49" spans="1:22" x14ac:dyDescent="0.2">
      <c r="A49" s="191">
        <v>49</v>
      </c>
      <c r="B49" s="5">
        <v>16</v>
      </c>
      <c r="C49" s="78">
        <v>2919</v>
      </c>
      <c r="D49" s="39">
        <v>45407</v>
      </c>
      <c r="E49" s="107" t="s">
        <v>695</v>
      </c>
      <c r="F49" s="2" t="s">
        <v>696</v>
      </c>
      <c r="G49" s="74" t="s">
        <v>697</v>
      </c>
      <c r="H49" s="2"/>
      <c r="I49" s="2"/>
      <c r="J49" s="108">
        <f t="shared" si="12"/>
        <v>475</v>
      </c>
      <c r="K49" s="30">
        <f t="shared" si="13"/>
        <v>593.75</v>
      </c>
      <c r="L49" s="34"/>
      <c r="M49" s="114">
        <f t="shared" si="14"/>
        <v>118.75</v>
      </c>
      <c r="N49" s="2"/>
      <c r="O49" s="2"/>
      <c r="P49" s="2"/>
      <c r="Q49" s="2"/>
      <c r="R49" s="30">
        <f t="shared" si="15"/>
        <v>118.75</v>
      </c>
      <c r="S49" s="2"/>
      <c r="T49" t="s">
        <v>602</v>
      </c>
      <c r="U49" s="109">
        <v>1</v>
      </c>
      <c r="V49">
        <v>475</v>
      </c>
    </row>
    <row r="50" spans="1:22" x14ac:dyDescent="0.2">
      <c r="A50" s="191">
        <v>60</v>
      </c>
      <c r="B50" s="5">
        <v>17</v>
      </c>
      <c r="C50" s="78">
        <v>16722</v>
      </c>
      <c r="D50" s="39">
        <v>45418</v>
      </c>
      <c r="E50" s="107" t="s">
        <v>692</v>
      </c>
      <c r="F50" s="2" t="s">
        <v>693</v>
      </c>
      <c r="G50" s="74" t="s">
        <v>694</v>
      </c>
      <c r="H50" s="2"/>
      <c r="I50" s="2"/>
      <c r="J50" s="108">
        <f t="shared" ref="J50:J55" si="16">+V50*U50</f>
        <v>354.9</v>
      </c>
      <c r="K50" s="30">
        <f t="shared" ref="K50:K55" si="17">J50+M50</f>
        <v>443.625</v>
      </c>
      <c r="L50" s="34"/>
      <c r="M50" s="114">
        <f t="shared" ref="M50:M55" si="18">SUM(N50:S50)</f>
        <v>88.724999999999994</v>
      </c>
      <c r="N50" s="2"/>
      <c r="O50" s="2"/>
      <c r="P50" s="2"/>
      <c r="Q50" s="2"/>
      <c r="R50" s="30">
        <f t="shared" ref="R50:R55" si="19">J50*0.25</f>
        <v>88.724999999999994</v>
      </c>
      <c r="S50" s="2"/>
      <c r="T50" t="s">
        <v>602</v>
      </c>
      <c r="U50" s="109">
        <v>1</v>
      </c>
      <c r="V50">
        <v>354.9</v>
      </c>
    </row>
    <row r="51" spans="1:22" x14ac:dyDescent="0.2">
      <c r="A51" s="191">
        <v>61</v>
      </c>
      <c r="B51" s="5">
        <v>18</v>
      </c>
      <c r="C51" s="78">
        <v>16724</v>
      </c>
      <c r="D51" s="39">
        <v>45418</v>
      </c>
      <c r="E51" s="107" t="s">
        <v>692</v>
      </c>
      <c r="F51" s="2" t="s">
        <v>693</v>
      </c>
      <c r="G51" s="74" t="s">
        <v>694</v>
      </c>
      <c r="H51" s="2"/>
      <c r="I51" s="2"/>
      <c r="J51" s="108">
        <f t="shared" si="16"/>
        <v>503.66</v>
      </c>
      <c r="K51" s="30">
        <f t="shared" si="17"/>
        <v>629.57500000000005</v>
      </c>
      <c r="L51" s="34"/>
      <c r="M51" s="114">
        <f t="shared" si="18"/>
        <v>125.91500000000001</v>
      </c>
      <c r="N51" s="2"/>
      <c r="O51" s="2"/>
      <c r="P51" s="2"/>
      <c r="Q51" s="2"/>
      <c r="R51" s="30">
        <f t="shared" si="19"/>
        <v>125.91500000000001</v>
      </c>
      <c r="S51" s="2"/>
      <c r="T51" t="s">
        <v>602</v>
      </c>
      <c r="U51" s="109">
        <v>1</v>
      </c>
      <c r="V51">
        <v>503.66</v>
      </c>
    </row>
    <row r="52" spans="1:22" x14ac:dyDescent="0.2">
      <c r="A52" s="191">
        <v>62</v>
      </c>
      <c r="B52" s="5">
        <v>19</v>
      </c>
      <c r="C52" s="78">
        <v>17002</v>
      </c>
      <c r="D52" s="39">
        <v>45425</v>
      </c>
      <c r="E52" s="107" t="s">
        <v>692</v>
      </c>
      <c r="F52" s="2" t="s">
        <v>693</v>
      </c>
      <c r="G52" s="74" t="s">
        <v>694</v>
      </c>
      <c r="H52" s="2"/>
      <c r="I52" s="2"/>
      <c r="J52" s="108">
        <f t="shared" si="16"/>
        <v>208.65</v>
      </c>
      <c r="K52" s="30">
        <f t="shared" si="17"/>
        <v>260.8125</v>
      </c>
      <c r="L52" s="34"/>
      <c r="M52" s="114">
        <f t="shared" si="18"/>
        <v>52.162500000000001</v>
      </c>
      <c r="N52" s="2"/>
      <c r="O52" s="2"/>
      <c r="P52" s="2"/>
      <c r="Q52" s="2"/>
      <c r="R52" s="30">
        <f t="shared" si="19"/>
        <v>52.162500000000001</v>
      </c>
      <c r="S52" s="2"/>
      <c r="T52" t="s">
        <v>602</v>
      </c>
      <c r="U52" s="109">
        <v>1</v>
      </c>
      <c r="V52">
        <v>208.65</v>
      </c>
    </row>
    <row r="53" spans="1:22" x14ac:dyDescent="0.2">
      <c r="A53" s="191">
        <v>63</v>
      </c>
      <c r="B53" s="5">
        <v>20</v>
      </c>
      <c r="C53" s="78" t="s">
        <v>706</v>
      </c>
      <c r="D53" s="39">
        <v>45439</v>
      </c>
      <c r="E53" s="107" t="s">
        <v>707</v>
      </c>
      <c r="F53" s="2" t="s">
        <v>708</v>
      </c>
      <c r="G53" s="74" t="s">
        <v>709</v>
      </c>
      <c r="H53" s="2"/>
      <c r="I53" s="2"/>
      <c r="J53" s="108">
        <f t="shared" si="16"/>
        <v>60</v>
      </c>
      <c r="K53" s="30">
        <f t="shared" si="17"/>
        <v>75</v>
      </c>
      <c r="L53" s="34"/>
      <c r="M53" s="114">
        <f t="shared" si="18"/>
        <v>15</v>
      </c>
      <c r="N53" s="2"/>
      <c r="O53" s="2"/>
      <c r="P53" s="2"/>
      <c r="Q53" s="2"/>
      <c r="R53" s="30">
        <f t="shared" si="19"/>
        <v>15</v>
      </c>
      <c r="S53" s="2"/>
      <c r="T53" t="s">
        <v>602</v>
      </c>
      <c r="U53" s="109">
        <v>1</v>
      </c>
      <c r="V53">
        <v>60</v>
      </c>
    </row>
    <row r="54" spans="1:22" ht="13.5" thickBot="1" x14ac:dyDescent="0.25">
      <c r="A54" s="193">
        <v>64</v>
      </c>
      <c r="B54" s="165">
        <v>21</v>
      </c>
      <c r="C54" s="187">
        <v>1052648</v>
      </c>
      <c r="D54" s="159">
        <v>45440</v>
      </c>
      <c r="E54" s="158" t="s">
        <v>710</v>
      </c>
      <c r="F54" s="160" t="s">
        <v>711</v>
      </c>
      <c r="G54" s="167" t="s">
        <v>712</v>
      </c>
      <c r="H54" s="2"/>
      <c r="I54" s="2"/>
      <c r="J54" s="108">
        <f t="shared" si="16"/>
        <v>129.83000000000001</v>
      </c>
      <c r="K54" s="30">
        <f t="shared" si="17"/>
        <v>162.28750000000002</v>
      </c>
      <c r="L54" s="34"/>
      <c r="M54" s="114">
        <f t="shared" si="18"/>
        <v>32.457500000000003</v>
      </c>
      <c r="N54" s="2"/>
      <c r="O54" s="2"/>
      <c r="P54" s="2"/>
      <c r="Q54" s="2"/>
      <c r="R54" s="30">
        <f t="shared" si="19"/>
        <v>32.457500000000003</v>
      </c>
      <c r="S54" s="2"/>
      <c r="T54" t="s">
        <v>602</v>
      </c>
      <c r="U54" s="109">
        <v>1</v>
      </c>
      <c r="V54">
        <v>129.83000000000001</v>
      </c>
    </row>
    <row r="55" spans="1:22" ht="13.5" thickBot="1" x14ac:dyDescent="0.25">
      <c r="A55" s="191">
        <v>73</v>
      </c>
      <c r="B55" s="188">
        <v>22</v>
      </c>
      <c r="C55" s="203" t="s">
        <v>730</v>
      </c>
      <c r="D55" s="175">
        <v>45444</v>
      </c>
      <c r="E55" s="209" t="s">
        <v>655</v>
      </c>
      <c r="F55" s="130" t="s">
        <v>656</v>
      </c>
      <c r="G55" s="210" t="s">
        <v>657</v>
      </c>
      <c r="H55" s="2"/>
      <c r="I55" s="2"/>
      <c r="J55" s="108">
        <f t="shared" si="16"/>
        <v>10.15</v>
      </c>
      <c r="K55" s="30">
        <f t="shared" si="17"/>
        <v>12.6875</v>
      </c>
      <c r="L55" s="34"/>
      <c r="M55" s="114">
        <f t="shared" si="18"/>
        <v>2.5375000000000001</v>
      </c>
      <c r="N55" s="2"/>
      <c r="O55" s="2"/>
      <c r="P55" s="2"/>
      <c r="Q55" s="2"/>
      <c r="R55" s="30">
        <f t="shared" si="19"/>
        <v>2.5375000000000001</v>
      </c>
      <c r="S55" s="2"/>
      <c r="T55" t="s">
        <v>602</v>
      </c>
      <c r="U55" s="109">
        <v>1</v>
      </c>
      <c r="V55">
        <v>10.15</v>
      </c>
    </row>
    <row r="56" spans="1:22" x14ac:dyDescent="0.2">
      <c r="A56" s="120"/>
      <c r="B56" s="18"/>
      <c r="C56" s="172"/>
      <c r="D56" s="150"/>
      <c r="E56" s="143"/>
      <c r="F56" s="151"/>
      <c r="G56" s="121"/>
      <c r="H56" s="2"/>
      <c r="I56" s="2"/>
      <c r="J56" s="108">
        <f t="shared" ref="J56:J73" si="20">+V56*U56</f>
        <v>0</v>
      </c>
      <c r="K56" s="30">
        <f t="shared" ref="K56:K73" si="21">J56+M56</f>
        <v>0</v>
      </c>
      <c r="L56" s="34"/>
      <c r="M56" s="114">
        <f t="shared" ref="M56:M73" si="22">SUM(N56:S56)</f>
        <v>0</v>
      </c>
      <c r="N56" s="2"/>
      <c r="O56" s="2"/>
      <c r="P56" s="2"/>
      <c r="Q56" s="2"/>
      <c r="R56" s="30">
        <f t="shared" ref="R56:R73" si="23">J56*0.25</f>
        <v>0</v>
      </c>
      <c r="S56" s="2"/>
      <c r="T56" t="s">
        <v>602</v>
      </c>
      <c r="U56" s="109">
        <v>1</v>
      </c>
    </row>
    <row r="57" spans="1:22" x14ac:dyDescent="0.2">
      <c r="A57" s="1"/>
      <c r="B57" s="288" t="s">
        <v>737</v>
      </c>
      <c r="C57" s="289"/>
      <c r="D57" s="289"/>
      <c r="E57" s="289"/>
      <c r="F57" s="289"/>
      <c r="G57" s="290"/>
      <c r="H57" s="2"/>
      <c r="I57" s="2"/>
      <c r="J57" s="108">
        <f t="shared" si="20"/>
        <v>0</v>
      </c>
      <c r="K57" s="30">
        <f t="shared" si="21"/>
        <v>0</v>
      </c>
      <c r="L57" s="34"/>
      <c r="M57" s="114">
        <f t="shared" si="22"/>
        <v>0</v>
      </c>
      <c r="N57" s="2"/>
      <c r="O57" s="2"/>
      <c r="P57" s="2"/>
      <c r="Q57" s="2"/>
      <c r="R57" s="30">
        <f t="shared" si="23"/>
        <v>0</v>
      </c>
      <c r="S57" s="2"/>
      <c r="T57" t="s">
        <v>602</v>
      </c>
      <c r="U57" s="109">
        <v>1</v>
      </c>
    </row>
    <row r="58" spans="1:22" ht="13.5" thickBot="1" x14ac:dyDescent="0.25">
      <c r="A58" s="164"/>
      <c r="B58" s="199"/>
      <c r="C58" s="200"/>
      <c r="D58" s="170"/>
      <c r="E58" s="169"/>
      <c r="F58" s="13"/>
      <c r="G58" s="201"/>
      <c r="H58" s="2"/>
      <c r="I58" s="2"/>
      <c r="J58" s="108">
        <f t="shared" si="20"/>
        <v>0</v>
      </c>
      <c r="K58" s="30">
        <f t="shared" si="21"/>
        <v>0</v>
      </c>
      <c r="L58" s="34"/>
      <c r="M58" s="114">
        <f t="shared" si="22"/>
        <v>0</v>
      </c>
      <c r="N58" s="2"/>
      <c r="O58" s="2"/>
      <c r="P58" s="2"/>
      <c r="Q58" s="2"/>
      <c r="R58" s="30">
        <f t="shared" si="23"/>
        <v>0</v>
      </c>
      <c r="S58" s="2"/>
      <c r="T58" t="s">
        <v>602</v>
      </c>
      <c r="U58" s="109">
        <v>1</v>
      </c>
    </row>
    <row r="59" spans="1:22" x14ac:dyDescent="0.2">
      <c r="A59" s="207">
        <v>81</v>
      </c>
      <c r="B59" s="134">
        <v>23</v>
      </c>
      <c r="C59" s="162">
        <v>9760008996</v>
      </c>
      <c r="D59" s="141">
        <v>45473</v>
      </c>
      <c r="E59" s="107" t="s">
        <v>692</v>
      </c>
      <c r="F59" s="2" t="s">
        <v>693</v>
      </c>
      <c r="G59" s="74" t="s">
        <v>694</v>
      </c>
      <c r="H59" s="2"/>
      <c r="I59" s="2"/>
      <c r="J59" s="108">
        <f t="shared" si="20"/>
        <v>3.32</v>
      </c>
      <c r="K59" s="30">
        <f t="shared" si="21"/>
        <v>4.1499999999999995</v>
      </c>
      <c r="L59" s="34"/>
      <c r="M59" s="114">
        <f t="shared" si="22"/>
        <v>0.83</v>
      </c>
      <c r="N59" s="2"/>
      <c r="O59" s="2"/>
      <c r="P59" s="2"/>
      <c r="Q59" s="2"/>
      <c r="R59" s="30">
        <f t="shared" si="23"/>
        <v>0.83</v>
      </c>
      <c r="S59" s="2"/>
      <c r="T59" t="s">
        <v>602</v>
      </c>
      <c r="U59" s="109">
        <v>1</v>
      </c>
      <c r="V59">
        <v>3.32</v>
      </c>
    </row>
    <row r="60" spans="1:22" ht="13.5" thickBot="1" x14ac:dyDescent="0.25">
      <c r="A60" s="207">
        <v>82</v>
      </c>
      <c r="B60" s="188">
        <v>24</v>
      </c>
      <c r="C60" s="202">
        <v>9760008995</v>
      </c>
      <c r="D60" s="175">
        <v>45473</v>
      </c>
      <c r="E60" s="107" t="s">
        <v>692</v>
      </c>
      <c r="F60" s="2" t="s">
        <v>693</v>
      </c>
      <c r="G60" s="74" t="s">
        <v>694</v>
      </c>
      <c r="H60" s="2"/>
      <c r="I60" s="2"/>
      <c r="J60" s="108">
        <f t="shared" si="20"/>
        <v>252.9</v>
      </c>
      <c r="K60" s="30">
        <f t="shared" si="21"/>
        <v>316.125</v>
      </c>
      <c r="L60" s="34"/>
      <c r="M60" s="114">
        <f t="shared" si="22"/>
        <v>63.225000000000001</v>
      </c>
      <c r="N60" s="2"/>
      <c r="O60" s="2"/>
      <c r="P60" s="2"/>
      <c r="Q60" s="2"/>
      <c r="R60" s="30">
        <f t="shared" si="23"/>
        <v>63.225000000000001</v>
      </c>
      <c r="S60" s="2"/>
      <c r="T60" t="s">
        <v>602</v>
      </c>
      <c r="U60" s="109">
        <v>1</v>
      </c>
      <c r="V60">
        <v>252.9</v>
      </c>
    </row>
    <row r="61" spans="1:22" ht="13.5" thickBot="1" x14ac:dyDescent="0.25">
      <c r="A61" s="208">
        <v>92</v>
      </c>
      <c r="B61" s="18">
        <v>25</v>
      </c>
      <c r="C61" s="172" t="s">
        <v>745</v>
      </c>
      <c r="D61" s="150">
        <v>45474</v>
      </c>
      <c r="E61" s="143" t="s">
        <v>655</v>
      </c>
      <c r="F61" s="151" t="s">
        <v>656</v>
      </c>
      <c r="G61" s="121" t="s">
        <v>657</v>
      </c>
      <c r="H61" s="2"/>
      <c r="I61" s="2"/>
      <c r="J61" s="108">
        <f t="shared" si="20"/>
        <v>12.25</v>
      </c>
      <c r="K61" s="30">
        <f t="shared" si="21"/>
        <v>15.3125</v>
      </c>
      <c r="L61" s="34"/>
      <c r="M61" s="114">
        <f t="shared" si="22"/>
        <v>3.0625</v>
      </c>
      <c r="N61" s="2"/>
      <c r="O61" s="2"/>
      <c r="P61" s="2"/>
      <c r="Q61" s="2"/>
      <c r="R61" s="30">
        <f t="shared" si="23"/>
        <v>3.0625</v>
      </c>
      <c r="S61" s="2"/>
      <c r="T61" t="s">
        <v>602</v>
      </c>
      <c r="U61" s="109">
        <v>1</v>
      </c>
      <c r="V61">
        <v>12.25</v>
      </c>
    </row>
    <row r="62" spans="1:22" x14ac:dyDescent="0.2">
      <c r="A62" s="120"/>
      <c r="B62" s="18"/>
      <c r="C62" s="172"/>
      <c r="D62" s="150"/>
      <c r="E62" s="143"/>
      <c r="F62" s="151"/>
      <c r="G62" s="121"/>
      <c r="H62" s="2"/>
      <c r="I62" s="2"/>
      <c r="J62" s="108">
        <f t="shared" si="20"/>
        <v>0</v>
      </c>
      <c r="K62" s="30">
        <f t="shared" si="21"/>
        <v>0</v>
      </c>
      <c r="L62" s="34"/>
      <c r="M62" s="114">
        <f t="shared" si="22"/>
        <v>0</v>
      </c>
      <c r="N62" s="2"/>
      <c r="O62" s="2"/>
      <c r="P62" s="2"/>
      <c r="Q62" s="2"/>
      <c r="R62" s="30">
        <f t="shared" si="23"/>
        <v>0</v>
      </c>
      <c r="S62" s="2"/>
      <c r="T62" t="s">
        <v>602</v>
      </c>
      <c r="U62" s="109">
        <v>1</v>
      </c>
    </row>
    <row r="63" spans="1:22" x14ac:dyDescent="0.2">
      <c r="A63" s="1"/>
      <c r="B63" s="291" t="s">
        <v>749</v>
      </c>
      <c r="C63" s="292"/>
      <c r="D63" s="292"/>
      <c r="E63" s="292"/>
      <c r="F63" s="292"/>
      <c r="G63" s="293"/>
      <c r="H63" s="2"/>
      <c r="I63" s="2"/>
      <c r="J63" s="108">
        <f t="shared" si="20"/>
        <v>0</v>
      </c>
      <c r="K63" s="30">
        <f t="shared" si="21"/>
        <v>0</v>
      </c>
      <c r="L63" s="34"/>
      <c r="M63" s="114">
        <f t="shared" si="22"/>
        <v>0</v>
      </c>
      <c r="N63" s="2"/>
      <c r="O63" s="2"/>
      <c r="P63" s="2"/>
      <c r="Q63" s="2"/>
      <c r="R63" s="30">
        <f t="shared" si="23"/>
        <v>0</v>
      </c>
      <c r="S63" s="2"/>
      <c r="T63" t="s">
        <v>602</v>
      </c>
      <c r="U63" s="109">
        <v>1</v>
      </c>
    </row>
    <row r="64" spans="1:22" ht="13.5" thickBot="1" x14ac:dyDescent="0.25">
      <c r="A64" s="164"/>
      <c r="B64" s="199"/>
      <c r="C64" s="200"/>
      <c r="D64" s="170"/>
      <c r="E64" s="169"/>
      <c r="F64" s="13"/>
      <c r="G64" s="201"/>
      <c r="H64" s="2"/>
      <c r="I64" s="2"/>
      <c r="J64" s="108">
        <f t="shared" si="20"/>
        <v>0</v>
      </c>
      <c r="K64" s="30">
        <f t="shared" si="21"/>
        <v>0</v>
      </c>
      <c r="L64" s="34"/>
      <c r="M64" s="114">
        <f t="shared" si="22"/>
        <v>0</v>
      </c>
      <c r="N64" s="2"/>
      <c r="O64" s="2"/>
      <c r="P64" s="2"/>
      <c r="Q64" s="2"/>
      <c r="R64" s="30">
        <f t="shared" si="23"/>
        <v>0</v>
      </c>
      <c r="S64" s="2"/>
      <c r="T64" t="s">
        <v>602</v>
      </c>
      <c r="U64" s="109">
        <v>1</v>
      </c>
    </row>
    <row r="65" spans="1:22" x14ac:dyDescent="0.2">
      <c r="A65" s="1"/>
      <c r="B65" s="134"/>
      <c r="C65" s="162"/>
      <c r="D65" s="141"/>
      <c r="E65" s="137"/>
      <c r="F65" s="154"/>
      <c r="G65" s="163"/>
      <c r="H65" s="2"/>
      <c r="I65" s="2"/>
      <c r="J65" s="108">
        <f t="shared" si="20"/>
        <v>0</v>
      </c>
      <c r="K65" s="30">
        <f t="shared" si="21"/>
        <v>0</v>
      </c>
      <c r="L65" s="34"/>
      <c r="M65" s="114">
        <f t="shared" si="22"/>
        <v>0</v>
      </c>
      <c r="N65" s="2"/>
      <c r="O65" s="2"/>
      <c r="P65" s="2"/>
      <c r="Q65" s="2"/>
      <c r="R65" s="30">
        <f t="shared" si="23"/>
        <v>0</v>
      </c>
      <c r="S65" s="2"/>
      <c r="T65" t="s">
        <v>602</v>
      </c>
      <c r="U65" s="109">
        <v>1</v>
      </c>
    </row>
    <row r="66" spans="1:22" x14ac:dyDescent="0.2">
      <c r="A66" s="1"/>
      <c r="B66" s="134"/>
      <c r="C66" s="162"/>
      <c r="D66" s="141"/>
      <c r="E66" s="137"/>
      <c r="F66" s="154"/>
      <c r="G66" s="163"/>
      <c r="H66" s="2"/>
      <c r="I66" s="2"/>
      <c r="J66" s="108">
        <f t="shared" si="20"/>
        <v>0</v>
      </c>
      <c r="K66" s="30">
        <f t="shared" si="21"/>
        <v>0</v>
      </c>
      <c r="L66" s="34"/>
      <c r="M66" s="114">
        <f t="shared" si="22"/>
        <v>0</v>
      </c>
      <c r="N66" s="2"/>
      <c r="O66" s="2"/>
      <c r="P66" s="2"/>
      <c r="Q66" s="2"/>
      <c r="R66" s="30">
        <f t="shared" si="23"/>
        <v>0</v>
      </c>
      <c r="S66" s="2"/>
      <c r="T66" t="s">
        <v>602</v>
      </c>
      <c r="U66" s="109">
        <v>1</v>
      </c>
    </row>
    <row r="67" spans="1:22" x14ac:dyDescent="0.2">
      <c r="A67" s="1"/>
      <c r="B67" s="134"/>
      <c r="C67" s="162"/>
      <c r="D67" s="141"/>
      <c r="E67" s="137"/>
      <c r="F67" s="154"/>
      <c r="G67" s="163"/>
      <c r="H67" s="2"/>
      <c r="I67" s="2"/>
      <c r="J67" s="108">
        <f t="shared" si="20"/>
        <v>0</v>
      </c>
      <c r="K67" s="30">
        <f t="shared" si="21"/>
        <v>0</v>
      </c>
      <c r="L67" s="34"/>
      <c r="M67" s="114">
        <f t="shared" si="22"/>
        <v>0</v>
      </c>
      <c r="N67" s="2"/>
      <c r="O67" s="2"/>
      <c r="P67" s="2"/>
      <c r="Q67" s="2"/>
      <c r="R67" s="30">
        <f t="shared" si="23"/>
        <v>0</v>
      </c>
      <c r="S67" s="2"/>
      <c r="T67" t="s">
        <v>602</v>
      </c>
      <c r="U67" s="109">
        <v>1</v>
      </c>
    </row>
    <row r="68" spans="1:22" x14ac:dyDescent="0.2">
      <c r="A68" s="1"/>
      <c r="B68" s="134"/>
      <c r="C68" s="162"/>
      <c r="D68" s="141"/>
      <c r="E68" s="137"/>
      <c r="F68" s="154"/>
      <c r="G68" s="163"/>
      <c r="H68" s="2"/>
      <c r="I68" s="2"/>
      <c r="J68" s="108">
        <f t="shared" si="20"/>
        <v>0</v>
      </c>
      <c r="K68" s="30">
        <f t="shared" si="21"/>
        <v>0</v>
      </c>
      <c r="L68" s="34"/>
      <c r="M68" s="114">
        <f t="shared" si="22"/>
        <v>0</v>
      </c>
      <c r="N68" s="2"/>
      <c r="O68" s="2"/>
      <c r="P68" s="2"/>
      <c r="Q68" s="2"/>
      <c r="R68" s="30">
        <f t="shared" si="23"/>
        <v>0</v>
      </c>
      <c r="S68" s="2"/>
      <c r="T68" t="s">
        <v>602</v>
      </c>
      <c r="U68" s="109">
        <v>1</v>
      </c>
    </row>
    <row r="69" spans="1:22" x14ac:dyDescent="0.2">
      <c r="A69" s="1"/>
      <c r="B69" s="134"/>
      <c r="C69" s="162"/>
      <c r="D69" s="141"/>
      <c r="E69" s="137"/>
      <c r="F69" s="154"/>
      <c r="G69" s="163"/>
      <c r="H69" s="2"/>
      <c r="I69" s="2"/>
      <c r="J69" s="108">
        <f t="shared" si="20"/>
        <v>0</v>
      </c>
      <c r="K69" s="30">
        <f t="shared" si="21"/>
        <v>0</v>
      </c>
      <c r="L69" s="34"/>
      <c r="M69" s="114">
        <f t="shared" si="22"/>
        <v>0</v>
      </c>
      <c r="N69" s="2"/>
      <c r="O69" s="2"/>
      <c r="P69" s="2"/>
      <c r="Q69" s="2"/>
      <c r="R69" s="30">
        <f t="shared" si="23"/>
        <v>0</v>
      </c>
      <c r="S69" s="2"/>
      <c r="T69" t="s">
        <v>602</v>
      </c>
      <c r="U69" s="109">
        <v>1</v>
      </c>
    </row>
    <row r="70" spans="1:22" x14ac:dyDescent="0.2">
      <c r="A70" s="1"/>
      <c r="B70" s="134"/>
      <c r="C70" s="162"/>
      <c r="D70" s="141"/>
      <c r="E70" s="137"/>
      <c r="F70" s="154"/>
      <c r="G70" s="163"/>
      <c r="H70" s="2"/>
      <c r="I70" s="2"/>
      <c r="J70" s="108">
        <f t="shared" si="20"/>
        <v>0</v>
      </c>
      <c r="K70" s="30">
        <f t="shared" si="21"/>
        <v>0</v>
      </c>
      <c r="L70" s="34"/>
      <c r="M70" s="114">
        <f t="shared" si="22"/>
        <v>0</v>
      </c>
      <c r="N70" s="2"/>
      <c r="O70" s="2"/>
      <c r="P70" s="2"/>
      <c r="Q70" s="2"/>
      <c r="R70" s="30">
        <f t="shared" si="23"/>
        <v>0</v>
      </c>
      <c r="S70" s="2"/>
      <c r="T70" t="s">
        <v>602</v>
      </c>
      <c r="U70" s="109">
        <v>1</v>
      </c>
    </row>
    <row r="71" spans="1:22" x14ac:dyDescent="0.2">
      <c r="A71" s="1"/>
      <c r="B71" s="5"/>
      <c r="C71" s="5"/>
      <c r="D71" s="5"/>
      <c r="E71" s="2"/>
      <c r="F71" s="2"/>
      <c r="G71" s="5"/>
      <c r="H71" s="2"/>
      <c r="I71" s="2"/>
      <c r="J71" s="108">
        <f t="shared" si="20"/>
        <v>0</v>
      </c>
      <c r="K71" s="30">
        <f t="shared" si="21"/>
        <v>0</v>
      </c>
      <c r="L71" s="34"/>
      <c r="M71" s="114">
        <f t="shared" si="22"/>
        <v>0</v>
      </c>
      <c r="N71" s="2"/>
      <c r="O71" s="2"/>
      <c r="P71" s="2"/>
      <c r="Q71" s="2"/>
      <c r="R71" s="30">
        <f t="shared" si="23"/>
        <v>0</v>
      </c>
      <c r="S71" s="2"/>
      <c r="T71" t="s">
        <v>602</v>
      </c>
      <c r="U71" s="109">
        <v>1</v>
      </c>
    </row>
    <row r="72" spans="1:22" x14ac:dyDescent="0.2">
      <c r="A72" s="1"/>
      <c r="B72" s="5"/>
      <c r="C72" s="5"/>
      <c r="D72" s="5"/>
      <c r="E72" s="2"/>
      <c r="F72" s="2"/>
      <c r="G72" s="5"/>
      <c r="H72" s="2"/>
      <c r="I72" s="2"/>
      <c r="J72" s="108">
        <f t="shared" si="20"/>
        <v>0</v>
      </c>
      <c r="K72" s="30">
        <f t="shared" si="21"/>
        <v>0</v>
      </c>
      <c r="L72" s="34"/>
      <c r="M72" s="114">
        <f t="shared" si="22"/>
        <v>0</v>
      </c>
      <c r="N72" s="2"/>
      <c r="O72" s="2"/>
      <c r="P72" s="2"/>
      <c r="Q72" s="2"/>
      <c r="R72" s="30">
        <f t="shared" si="23"/>
        <v>0</v>
      </c>
      <c r="S72" s="2"/>
      <c r="T72" t="s">
        <v>602</v>
      </c>
      <c r="U72" s="109">
        <v>1</v>
      </c>
    </row>
    <row r="73" spans="1:22" x14ac:dyDescent="0.2">
      <c r="A73" s="1"/>
      <c r="B73" s="5"/>
      <c r="C73" s="5"/>
      <c r="D73" s="39"/>
      <c r="E73" s="2"/>
      <c r="F73" s="2"/>
      <c r="G73" s="5"/>
      <c r="H73" s="2"/>
      <c r="I73" s="2"/>
      <c r="J73" s="108">
        <f t="shared" si="20"/>
        <v>0</v>
      </c>
      <c r="K73" s="30">
        <f t="shared" si="21"/>
        <v>0</v>
      </c>
      <c r="L73" s="34"/>
      <c r="M73" s="114">
        <f t="shared" si="22"/>
        <v>0</v>
      </c>
      <c r="N73" s="2"/>
      <c r="O73" s="2"/>
      <c r="P73" s="2"/>
      <c r="Q73" s="2"/>
      <c r="R73" s="30">
        <f t="shared" si="23"/>
        <v>0</v>
      </c>
      <c r="S73" s="2"/>
      <c r="T73" t="s">
        <v>602</v>
      </c>
      <c r="U73" s="109">
        <v>1</v>
      </c>
    </row>
    <row r="74" spans="1:22" x14ac:dyDescent="0.2">
      <c r="J74" s="35">
        <f>SUM(J29:J73)</f>
        <v>8380.659999999998</v>
      </c>
      <c r="K74" s="35">
        <f>SUM(K29:K73)</f>
        <v>10475.825000000001</v>
      </c>
      <c r="L74" s="35"/>
      <c r="R74" s="35">
        <f>SUM(R29:R73)</f>
        <v>2095.1649999999995</v>
      </c>
    </row>
    <row r="76" spans="1:22" x14ac:dyDescent="0.2">
      <c r="T76" s="5" t="s">
        <v>605</v>
      </c>
      <c r="U76" s="35"/>
      <c r="V76" s="35"/>
    </row>
    <row r="77" spans="1:22" x14ac:dyDescent="0.2">
      <c r="U77" s="35"/>
      <c r="V77" s="35"/>
    </row>
  </sheetData>
  <mergeCells count="40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K21:K27"/>
    <mergeCell ref="N21:O22"/>
    <mergeCell ref="P21:Q22"/>
    <mergeCell ref="R21:S22"/>
    <mergeCell ref="N23:N27"/>
    <mergeCell ref="O23:O27"/>
    <mergeCell ref="P23:P27"/>
    <mergeCell ref="C21:C27"/>
    <mergeCell ref="D21:D27"/>
    <mergeCell ref="E21:F27"/>
    <mergeCell ref="G21:G27"/>
    <mergeCell ref="H21:J25"/>
    <mergeCell ref="B57:G57"/>
    <mergeCell ref="B63:G63"/>
    <mergeCell ref="T19:T28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  <mergeCell ref="B19:B27"/>
    <mergeCell ref="C19:D20"/>
    <mergeCell ref="E19:M20"/>
    <mergeCell ref="N19:S20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N1048576"/>
  <sheetViews>
    <sheetView showZeros="0" tabSelected="1" topLeftCell="A54" zoomScale="85" zoomScaleNormal="85" workbookViewId="0">
      <selection activeCell="D143" sqref="D143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271" t="str">
        <f>NASLOV!B5</f>
        <v>Markus Renz</v>
      </c>
      <c r="B1" s="271"/>
      <c r="C1" s="271"/>
      <c r="D1" s="271"/>
      <c r="E1" s="271"/>
      <c r="F1" s="271"/>
    </row>
    <row r="2" spans="1:18" x14ac:dyDescent="0.2">
      <c r="A2" s="271"/>
      <c r="B2" s="271"/>
      <c r="C2" s="271"/>
      <c r="D2" s="271"/>
      <c r="E2" s="271"/>
      <c r="F2" s="271"/>
    </row>
    <row r="3" spans="1:18" x14ac:dyDescent="0.2">
      <c r="C3" s="269" t="str">
        <f>INDEX(PRIJEVODI!B:D,MATCH("URA-001",PRIJEVODI!A:A,0),MATCH(NASLOV!$B$2,PRIJEVODI!$B$1:$D$1,0))</f>
        <v>STEUERPFLICHTIGER: NAME / NACHNAME</v>
      </c>
      <c r="D3" s="269"/>
      <c r="E3" s="269"/>
      <c r="F3" s="269"/>
      <c r="Q3" s="274"/>
      <c r="R3" s="274"/>
    </row>
    <row r="4" spans="1:18" x14ac:dyDescent="0.2">
      <c r="C4" s="270" t="str">
        <f>NASLOV!B7</f>
        <v>Am Sonnblick 6, Lichtenau</v>
      </c>
      <c r="D4" s="270"/>
      <c r="E4" s="270"/>
      <c r="F4" s="270"/>
    </row>
    <row r="5" spans="1:18" x14ac:dyDescent="0.2">
      <c r="C5" s="270"/>
      <c r="D5" s="270"/>
      <c r="E5" s="270"/>
      <c r="F5" s="270"/>
    </row>
    <row r="6" spans="1:18" x14ac:dyDescent="0.2">
      <c r="C6" s="269" t="str">
        <f>INDEX(PRIJEVODI!B:D,MATCH("URA-002",PRIJEVODI!A:A,0),MATCH(NASLOV!$B$2,PRIJEVODI!$B$1:$D$1,0))</f>
        <v>ADRESSE: ORT, STRASSE UND HAUSNUMMER</v>
      </c>
      <c r="D6" s="269"/>
      <c r="E6" s="269"/>
      <c r="F6" s="269"/>
    </row>
    <row r="7" spans="1:18" x14ac:dyDescent="0.2">
      <c r="C7" s="272"/>
      <c r="D7" s="272"/>
      <c r="E7" s="272"/>
      <c r="F7" s="272"/>
    </row>
    <row r="8" spans="1:18" x14ac:dyDescent="0.2">
      <c r="C8" s="272"/>
      <c r="D8" s="272"/>
      <c r="E8" s="272"/>
      <c r="F8" s="272"/>
    </row>
    <row r="9" spans="1:18" x14ac:dyDescent="0.2">
      <c r="C9" s="269" t="str">
        <f>INDEX(PRIJEVODI!B:D,MATCH("URA-003",PRIJEVODI!A:A,0),MATCH(NASLOV!$B$2,PRIJEVODI!$B$1:$D$1,0))</f>
        <v xml:space="preserve">NUMMERIERUNG GEMÄSS DEM NATIONALEN KLASSIFIZIERUNGSSYSTEM  </v>
      </c>
      <c r="D9" s="269"/>
      <c r="E9" s="269"/>
      <c r="F9" s="269"/>
    </row>
    <row r="10" spans="1:18" x14ac:dyDescent="0.2">
      <c r="C10" s="269"/>
      <c r="D10" s="269"/>
      <c r="E10" s="269"/>
      <c r="F10" s="269"/>
    </row>
    <row r="11" spans="1:18" x14ac:dyDescent="0.2">
      <c r="C11" s="270" t="str">
        <f>NASLOV!B9</f>
        <v>HR6411581446</v>
      </c>
      <c r="D11" s="270"/>
      <c r="E11" s="270"/>
      <c r="F11" s="270"/>
    </row>
    <row r="12" spans="1:18" x14ac:dyDescent="0.2">
      <c r="C12" s="270"/>
      <c r="D12" s="270"/>
      <c r="E12" s="270"/>
      <c r="F12" s="270"/>
    </row>
    <row r="13" spans="1:18" x14ac:dyDescent="0.2">
      <c r="C13" s="269" t="str">
        <f>INDEX(PRIJEVODI!B:D,MATCH("URA-004",PRIJEVODI!A:A,0),MATCH(NASLOV!$B$2,PRIJEVODI!$B$1:$D$1,0))</f>
        <v>STEUERNUMMER (UID)</v>
      </c>
      <c r="D13" s="269"/>
      <c r="E13" s="269"/>
      <c r="F13" s="269"/>
    </row>
    <row r="15" spans="1:18" x14ac:dyDescent="0.2">
      <c r="G15" s="273" t="str">
        <f>INDEX(PRIJEVODI!B:D,MATCH("URA-005",PRIJEVODI!A:A,0),MATCH(NASLOV!$B$2,PRIJEVODI!$B$1:$D$1,0))</f>
        <v>EINGANGSRECHNUNGBUCH</v>
      </c>
      <c r="H15" s="274"/>
      <c r="I15" s="274"/>
      <c r="J15" s="274"/>
      <c r="K15" s="274"/>
      <c r="L15" s="268" t="s">
        <v>580</v>
      </c>
    </row>
    <row r="16" spans="1:18" x14ac:dyDescent="0.2">
      <c r="G16" s="274"/>
      <c r="H16" s="274"/>
      <c r="I16" s="274"/>
      <c r="J16" s="274"/>
      <c r="K16" s="274"/>
      <c r="L16" s="268"/>
      <c r="O16" s="274" t="str">
        <f>INDEX(PRIJEVODI!B:D,MATCH("URA-006",PRIJEVODI!A:A,0),MATCH(NASLOV!$B$2,PRIJEVODI!$B$1:$D$1,0))</f>
        <v>BETRAG IN KUNA UND LIPA</v>
      </c>
      <c r="P16" s="274"/>
      <c r="Q16" s="274"/>
      <c r="R16" s="274"/>
    </row>
    <row r="19" spans="1:20" ht="12.75" customHeight="1" x14ac:dyDescent="0.2">
      <c r="B19" s="243" t="str">
        <f>INDEX(PRIJEVODI!B:D,MATCH("URA-007",PRIJEVODI!A:A,0),MATCH(NASLOV!$B$2,PRIJEVODI!$B$1:$D$1,0))</f>
        <v xml:space="preserve">ORDNUNGSNUMMER </v>
      </c>
      <c r="C19" s="246" t="str">
        <f>INDEX(PRIJEVODI!B:D,MATCH("URA-008",PRIJEVODI!A:A,0),MATCH(NASLOV!$B$2,PRIJEVODI!$B$1:$D$1,0))</f>
        <v>RECHNUNG</v>
      </c>
      <c r="D19" s="247"/>
      <c r="E19" s="298" t="str">
        <f>INDEX(PRIJEVODI!B:D,MATCH("URA-011",PRIJEVODI!A:A,0),MATCH(NASLOV!$B$2,PRIJEVODI!$B$1:$D$1,0))</f>
        <v>LIEFERANT (ANBIETER VON WAREN UND DIENSTLEISTUNGEN)</v>
      </c>
      <c r="F19" s="299"/>
      <c r="G19" s="299"/>
      <c r="H19" s="299"/>
      <c r="I19" s="299"/>
      <c r="J19" s="299"/>
      <c r="K19" s="299"/>
      <c r="L19" s="299"/>
      <c r="M19" s="296"/>
      <c r="N19" s="246" t="str">
        <f>INDEX(PRIJEVODI!B:D,MATCH("URA-020",PRIJEVODI!A:A,0),MATCH(NASLOV!$B$2,PRIJEVODI!$B$1:$D$1,0))</f>
        <v>STEUER</v>
      </c>
      <c r="O19" s="277"/>
      <c r="P19" s="277"/>
      <c r="Q19" s="277"/>
      <c r="R19" s="277"/>
      <c r="S19" s="283"/>
    </row>
    <row r="20" spans="1:20" x14ac:dyDescent="0.2">
      <c r="B20" s="244"/>
      <c r="C20" s="248"/>
      <c r="D20" s="249"/>
      <c r="E20" s="286"/>
      <c r="F20" s="300"/>
      <c r="G20" s="300"/>
      <c r="H20" s="300"/>
      <c r="I20" s="300"/>
      <c r="J20" s="300"/>
      <c r="K20" s="300"/>
      <c r="L20" s="300"/>
      <c r="M20" s="301"/>
      <c r="N20" s="279"/>
      <c r="O20" s="280"/>
      <c r="P20" s="280"/>
      <c r="Q20" s="280"/>
      <c r="R20" s="280"/>
      <c r="S20" s="281"/>
    </row>
    <row r="21" spans="1:20" ht="12.75" customHeight="1" x14ac:dyDescent="0.2">
      <c r="B21" s="244"/>
      <c r="C21" s="256" t="str">
        <f>INDEX(PRIJEVODI!B:D,MATCH("URA-009",PRIJEVODI!A:A,0),MATCH(NASLOV!$B$2,PRIJEVODI!$B$1:$D$1,0))</f>
        <v xml:space="preserve">NUMMER </v>
      </c>
      <c r="D21" s="256" t="str">
        <f>INDEX(PRIJEVODI!B:D,MATCH("URA-010",PRIJEVODI!A:A,0),MATCH(NASLOV!$B$2,PRIJEVODI!$B$1:$D$1,0))</f>
        <v>DATUM</v>
      </c>
      <c r="E21" s="259" t="str">
        <f>INDEX(PRIJEVODI!B:D,MATCH("URA-012",PRIJEVODI!A:A,0),MATCH(NASLOV!$B$2,PRIJEVODI!$B$1:$D$1,0))</f>
        <v>TITEL - NAME UND NACHNAME, GESCHÄFTSSITZ / SITZORT</v>
      </c>
      <c r="F21" s="260"/>
      <c r="G21" s="265" t="str">
        <f>INDEX(PRIJEVODI!B:D,MATCH("URA-013",PRIJEVODI!A:A,0),MATCH(NASLOV!$B$2,PRIJEVODI!$B$1:$D$1,0))</f>
        <v>STEUERNUMMER (UID)</v>
      </c>
      <c r="H21" s="284" t="str">
        <f>INDEX(PRIJEVODI!B:D,MATCH("URA-014",PRIJEVODI!A:A,0),MATCH(NASLOV!$B$2,PRIJEVODI!$B$1:$D$1,0))</f>
        <v>LIEFERWERT</v>
      </c>
      <c r="I21" s="299"/>
      <c r="J21" s="296"/>
      <c r="K21" s="265" t="str">
        <f>INDEX(PRIJEVODI!B:D,MATCH("URA-018",PRIJEVODI!A:A,0),MATCH(NASLOV!$B$2,PRIJEVODI!$B$1:$D$1,0))</f>
        <v>GESAMTBETRAG DER RECHNUNG INKLUSIVE MwST.</v>
      </c>
      <c r="L21" s="45"/>
      <c r="M21" s="256" t="str">
        <f>INDEX(PRIJEVODI!B:D,MATCH("URA-030",PRIJEVODI!A:A,0),MATCH(NASLOV!$B$2,PRIJEVODI!$B$1:$D$1,0))</f>
        <v>TOTAL</v>
      </c>
      <c r="N21" s="282">
        <v>0.05</v>
      </c>
      <c r="O21" s="283"/>
      <c r="P21" s="282">
        <v>0.13</v>
      </c>
      <c r="Q21" s="283"/>
      <c r="R21" s="282">
        <v>0.25</v>
      </c>
      <c r="S21" s="283"/>
    </row>
    <row r="22" spans="1:20" x14ac:dyDescent="0.2">
      <c r="B22" s="244"/>
      <c r="C22" s="257"/>
      <c r="D22" s="257"/>
      <c r="E22" s="261"/>
      <c r="F22" s="262"/>
      <c r="G22" s="266"/>
      <c r="H22" s="285"/>
      <c r="I22" s="302"/>
      <c r="J22" s="303"/>
      <c r="K22" s="266"/>
      <c r="L22" s="46"/>
      <c r="M22" s="257"/>
      <c r="N22" s="279"/>
      <c r="O22" s="281"/>
      <c r="P22" s="279"/>
      <c r="Q22" s="281"/>
      <c r="R22" s="279"/>
      <c r="S22" s="281"/>
    </row>
    <row r="23" spans="1:20" x14ac:dyDescent="0.2">
      <c r="B23" s="244"/>
      <c r="C23" s="257"/>
      <c r="D23" s="257"/>
      <c r="E23" s="261"/>
      <c r="F23" s="262"/>
      <c r="G23" s="266"/>
      <c r="H23" s="285"/>
      <c r="I23" s="302"/>
      <c r="J23" s="303"/>
      <c r="K23" s="266"/>
      <c r="L23" s="46"/>
      <c r="M23" s="257"/>
      <c r="N23" s="265" t="str">
        <f>INDEX(PRIJEVODI!B:D,MATCH("URA-022",PRIJEVODI!A:A,0),MATCH(NASLOV!$B$2,PRIJEVODI!$B$1:$D$1,0))</f>
        <v>ABZUGSFÄHIG</v>
      </c>
      <c r="O23" s="265" t="str">
        <f>INDEX(PRIJEVODI!B:D,MATCH("URA-023",PRIJEVODI!A:A,0),MATCH(NASLOV!$B$2,PRIJEVODI!$B$1:$D$1,0))</f>
        <v>NICHT ABZUGSFÄHIG</v>
      </c>
      <c r="P23" s="265" t="str">
        <f>INDEX(PRIJEVODI!B:D,MATCH("URA-025",PRIJEVODI!A:A,0),MATCH(NASLOV!$B$2,PRIJEVODI!$B$1:$D$1,0))</f>
        <v>ABZUGSFÄHIG</v>
      </c>
      <c r="Q23" s="265" t="str">
        <f>INDEX(PRIJEVODI!B:D,MATCH("URA-026",PRIJEVODI!A:A,0),MATCH(NASLOV!$B$2,PRIJEVODI!$B$1:$D$1,0))</f>
        <v>NICHT ABZUGSFÄHIG</v>
      </c>
      <c r="R23" s="265" t="str">
        <f>INDEX(PRIJEVODI!B:D,MATCH("URA-028",PRIJEVODI!A:A,0),MATCH(NASLOV!$B$2,PRIJEVODI!$B$1:$D$1,0))</f>
        <v>ABZUGSFÄHIG</v>
      </c>
      <c r="S23" s="265" t="str">
        <f>INDEX(PRIJEVODI!B:D,MATCH("URA-029",PRIJEVODI!A:A,0),MATCH(NASLOV!$B$2,PRIJEVODI!$B$1:$D$1,0))</f>
        <v>NICHT ABZUGSFÄHIG</v>
      </c>
    </row>
    <row r="24" spans="1:20" x14ac:dyDescent="0.2">
      <c r="B24" s="244"/>
      <c r="C24" s="257"/>
      <c r="D24" s="257"/>
      <c r="E24" s="261"/>
      <c r="F24" s="262"/>
      <c r="G24" s="266"/>
      <c r="H24" s="285"/>
      <c r="I24" s="302"/>
      <c r="J24" s="303"/>
      <c r="K24" s="266"/>
      <c r="L24" s="48" t="str">
        <f>INDEX(PRIJEVODI!B:D,MATCH("URA-019",PRIJEVODI!A:A,0),MATCH(NASLOV!$B$2,PRIJEVODI!$B$1:$D$1,0))</f>
        <v>STEUERBEFREIUNGEN / ABZUGSFÄHIG</v>
      </c>
      <c r="M24" s="257"/>
      <c r="N24" s="266"/>
      <c r="O24" s="266"/>
      <c r="P24" s="266"/>
      <c r="Q24" s="266"/>
      <c r="R24" s="266"/>
      <c r="S24" s="266"/>
    </row>
    <row r="25" spans="1:20" x14ac:dyDescent="0.2">
      <c r="B25" s="244"/>
      <c r="C25" s="257"/>
      <c r="D25" s="257"/>
      <c r="E25" s="261"/>
      <c r="F25" s="262"/>
      <c r="G25" s="266"/>
      <c r="H25" s="286"/>
      <c r="I25" s="300"/>
      <c r="J25" s="301"/>
      <c r="K25" s="266"/>
      <c r="L25" s="46"/>
      <c r="M25" s="257"/>
      <c r="N25" s="266"/>
      <c r="O25" s="266"/>
      <c r="P25" s="266"/>
      <c r="Q25" s="266"/>
      <c r="R25" s="266"/>
      <c r="S25" s="266"/>
    </row>
    <row r="26" spans="1:20" x14ac:dyDescent="0.2">
      <c r="B26" s="244"/>
      <c r="C26" s="257"/>
      <c r="D26" s="257"/>
      <c r="E26" s="261"/>
      <c r="F26" s="262"/>
      <c r="G26" s="266"/>
      <c r="H26" s="297">
        <v>0.05</v>
      </c>
      <c r="I26" s="297">
        <v>0.13</v>
      </c>
      <c r="J26" s="297">
        <v>0.25</v>
      </c>
      <c r="K26" s="266"/>
      <c r="L26" s="46"/>
      <c r="M26" s="257"/>
      <c r="N26" s="266"/>
      <c r="O26" s="266"/>
      <c r="P26" s="266"/>
      <c r="Q26" s="266"/>
      <c r="R26" s="266"/>
      <c r="S26" s="266"/>
    </row>
    <row r="27" spans="1:20" x14ac:dyDescent="0.2">
      <c r="B27" s="245"/>
      <c r="C27" s="258"/>
      <c r="D27" s="258"/>
      <c r="E27" s="263"/>
      <c r="F27" s="264"/>
      <c r="G27" s="267"/>
      <c r="H27" s="258"/>
      <c r="I27" s="258"/>
      <c r="J27" s="258"/>
      <c r="K27" s="267"/>
      <c r="L27" s="47"/>
      <c r="M27" s="258"/>
      <c r="N27" s="267"/>
      <c r="O27" s="267"/>
      <c r="P27" s="267"/>
      <c r="Q27" s="267"/>
      <c r="R27" s="267"/>
      <c r="S27" s="267"/>
    </row>
    <row r="28" spans="1:20" ht="13.5" thickBot="1" x14ac:dyDescent="0.25">
      <c r="A28" s="112" t="s">
        <v>590</v>
      </c>
      <c r="B28" s="33">
        <v>1</v>
      </c>
      <c r="C28" s="33">
        <v>2</v>
      </c>
      <c r="D28" s="33">
        <v>3</v>
      </c>
      <c r="E28" s="284">
        <v>4</v>
      </c>
      <c r="F28" s="296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3" t="s">
        <v>0</v>
      </c>
      <c r="N28" s="33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1:20" ht="13.5" thickBot="1" x14ac:dyDescent="0.25">
      <c r="A29" s="120" t="s">
        <v>610</v>
      </c>
      <c r="B29" s="139">
        <v>66</v>
      </c>
      <c r="C29" s="136" t="s">
        <v>611</v>
      </c>
      <c r="D29" s="140">
        <v>45077</v>
      </c>
      <c r="E29" s="130" t="s">
        <v>612</v>
      </c>
      <c r="F29" s="131" t="s">
        <v>613</v>
      </c>
      <c r="G29" s="132">
        <v>96860569005</v>
      </c>
      <c r="H29" s="121"/>
      <c r="I29" s="121"/>
      <c r="J29" s="122">
        <v>978</v>
      </c>
      <c r="K29" s="123">
        <f t="shared" ref="K29:K51" si="0">H29+I29+J29+M29</f>
        <v>1222.5</v>
      </c>
      <c r="L29" s="124"/>
      <c r="M29" s="124">
        <f>SUM(N29:S29)</f>
        <v>244.5</v>
      </c>
      <c r="N29" s="125"/>
      <c r="O29" s="125"/>
      <c r="P29" s="124">
        <f>+I29*0.13</f>
        <v>0</v>
      </c>
      <c r="Q29" s="125"/>
      <c r="R29" s="124">
        <f>J29*0.25</f>
        <v>244.5</v>
      </c>
      <c r="S29" s="125"/>
      <c r="T29" s="101"/>
    </row>
    <row r="30" spans="1:20" x14ac:dyDescent="0.2">
      <c r="A30" s="189">
        <v>84</v>
      </c>
      <c r="B30" s="144">
        <v>67</v>
      </c>
      <c r="C30" s="137" t="s">
        <v>614</v>
      </c>
      <c r="D30" s="141">
        <v>45202</v>
      </c>
      <c r="E30" s="130" t="s">
        <v>612</v>
      </c>
      <c r="F30" s="131" t="s">
        <v>613</v>
      </c>
      <c r="G30" s="132">
        <v>96860569005</v>
      </c>
      <c r="H30" s="74"/>
      <c r="I30" s="74"/>
      <c r="J30" s="113">
        <v>70</v>
      </c>
      <c r="K30" s="100">
        <f t="shared" si="0"/>
        <v>87.5</v>
      </c>
      <c r="L30" s="95"/>
      <c r="M30" s="95">
        <f t="shared" ref="M30:M51" si="1">SUM(N30:S30)</f>
        <v>17.5</v>
      </c>
      <c r="N30" s="64"/>
      <c r="O30" s="64"/>
      <c r="P30" s="95">
        <f>+I30*0.13</f>
        <v>0</v>
      </c>
      <c r="Q30" s="64"/>
      <c r="R30" s="95">
        <f t="shared" ref="R30:R34" si="2">J30*0.25</f>
        <v>17.5</v>
      </c>
      <c r="S30" s="64"/>
      <c r="T30" s="101"/>
    </row>
    <row r="31" spans="1:20" x14ac:dyDescent="0.2">
      <c r="A31" s="190">
        <v>87</v>
      </c>
      <c r="B31" s="97">
        <v>68</v>
      </c>
      <c r="C31" s="107" t="s">
        <v>621</v>
      </c>
      <c r="D31" s="39">
        <v>45208</v>
      </c>
      <c r="E31" s="2" t="s">
        <v>608</v>
      </c>
      <c r="F31" s="98" t="s">
        <v>609</v>
      </c>
      <c r="G31" s="99">
        <v>43965974818</v>
      </c>
      <c r="H31" s="74"/>
      <c r="I31" s="74">
        <v>3.07</v>
      </c>
      <c r="J31" s="113"/>
      <c r="K31" s="100">
        <f t="shared" si="0"/>
        <v>3.4691000000000001</v>
      </c>
      <c r="L31" s="95"/>
      <c r="M31" s="95">
        <f t="shared" si="1"/>
        <v>0.39910000000000001</v>
      </c>
      <c r="N31" s="64"/>
      <c r="O31" s="64"/>
      <c r="P31" s="95">
        <f>I31*0.13</f>
        <v>0.39910000000000001</v>
      </c>
      <c r="Q31" s="64"/>
      <c r="R31" s="95">
        <f t="shared" si="2"/>
        <v>0</v>
      </c>
      <c r="S31" s="64"/>
      <c r="T31" s="101"/>
    </row>
    <row r="32" spans="1:20" x14ac:dyDescent="0.2">
      <c r="A32" s="191">
        <v>88</v>
      </c>
      <c r="B32" s="97">
        <v>69</v>
      </c>
      <c r="C32" s="107" t="s">
        <v>622</v>
      </c>
      <c r="D32" s="39">
        <v>45208</v>
      </c>
      <c r="E32" s="2" t="s">
        <v>608</v>
      </c>
      <c r="F32" s="98" t="s">
        <v>609</v>
      </c>
      <c r="G32" s="99">
        <v>43965974818</v>
      </c>
      <c r="H32" s="126"/>
      <c r="I32" s="126">
        <v>9.5500000000000007</v>
      </c>
      <c r="J32" s="127"/>
      <c r="K32" s="100">
        <f t="shared" si="0"/>
        <v>10.791500000000001</v>
      </c>
      <c r="L32" s="128"/>
      <c r="M32" s="128">
        <f>SUM(N32:S32)</f>
        <v>1.2415</v>
      </c>
      <c r="N32" s="129"/>
      <c r="O32" s="129"/>
      <c r="P32" s="128">
        <f>+I32*0.13</f>
        <v>1.2415</v>
      </c>
      <c r="Q32" s="129"/>
      <c r="R32" s="128">
        <f t="shared" si="2"/>
        <v>0</v>
      </c>
      <c r="S32" s="129"/>
      <c r="T32" s="101"/>
    </row>
    <row r="33" spans="1:20" x14ac:dyDescent="0.2">
      <c r="A33" s="190">
        <v>89</v>
      </c>
      <c r="B33" s="97">
        <v>70</v>
      </c>
      <c r="C33" s="107" t="s">
        <v>623</v>
      </c>
      <c r="D33" s="39">
        <v>45208</v>
      </c>
      <c r="E33" s="2" t="s">
        <v>608</v>
      </c>
      <c r="F33" s="98" t="s">
        <v>609</v>
      </c>
      <c r="G33" s="99">
        <v>43965974818</v>
      </c>
      <c r="H33" s="74"/>
      <c r="I33" s="74">
        <v>8.7899999999999991</v>
      </c>
      <c r="J33" s="113"/>
      <c r="K33" s="100">
        <f>H33+I33+J33+M33</f>
        <v>9.9326999999999988</v>
      </c>
      <c r="L33" s="95"/>
      <c r="M33" s="95">
        <f>SUM(N33:S33)</f>
        <v>1.1426999999999998</v>
      </c>
      <c r="N33" s="64">
        <f>+H33*0.05</f>
        <v>0</v>
      </c>
      <c r="O33" s="64"/>
      <c r="P33" s="95">
        <f t="shared" ref="P33:P34" si="3">+I33*0.13</f>
        <v>1.1426999999999998</v>
      </c>
      <c r="Q33" s="64"/>
      <c r="R33" s="95">
        <f>J33*0.25</f>
        <v>0</v>
      </c>
      <c r="S33" s="64"/>
      <c r="T33" s="101"/>
    </row>
    <row r="34" spans="1:20" x14ac:dyDescent="0.2">
      <c r="A34" s="191">
        <v>90</v>
      </c>
      <c r="B34" s="97">
        <v>71</v>
      </c>
      <c r="C34" s="135">
        <v>2203282605</v>
      </c>
      <c r="D34" s="39">
        <v>45208</v>
      </c>
      <c r="E34" s="2" t="s">
        <v>608</v>
      </c>
      <c r="F34" s="98" t="s">
        <v>609</v>
      </c>
      <c r="G34" s="99">
        <v>43965974818</v>
      </c>
      <c r="H34" s="74"/>
      <c r="I34" s="74">
        <v>4.37</v>
      </c>
      <c r="J34" s="113"/>
      <c r="K34" s="100">
        <f t="shared" si="0"/>
        <v>4.9381000000000004</v>
      </c>
      <c r="L34" s="95"/>
      <c r="M34" s="95">
        <f t="shared" si="1"/>
        <v>0.56810000000000005</v>
      </c>
      <c r="N34" s="64"/>
      <c r="O34" s="64"/>
      <c r="P34" s="95">
        <f t="shared" si="3"/>
        <v>0.56810000000000005</v>
      </c>
      <c r="Q34" s="64"/>
      <c r="R34" s="95">
        <f t="shared" si="2"/>
        <v>0</v>
      </c>
      <c r="S34" s="64"/>
      <c r="T34" s="101"/>
    </row>
    <row r="35" spans="1:20" x14ac:dyDescent="0.2">
      <c r="A35" s="190">
        <v>91</v>
      </c>
      <c r="B35" s="97">
        <v>72</v>
      </c>
      <c r="C35" s="107" t="s">
        <v>624</v>
      </c>
      <c r="D35" s="39">
        <v>45222</v>
      </c>
      <c r="E35" s="2" t="s">
        <v>625</v>
      </c>
      <c r="F35" s="98" t="s">
        <v>626</v>
      </c>
      <c r="G35" s="99">
        <v>22694857747</v>
      </c>
      <c r="H35" s="74"/>
      <c r="I35" s="74">
        <v>0</v>
      </c>
      <c r="J35" s="113"/>
      <c r="K35" s="100">
        <v>1039.53</v>
      </c>
      <c r="L35" s="95"/>
      <c r="M35" s="95">
        <f t="shared" si="1"/>
        <v>0</v>
      </c>
      <c r="N35" s="64">
        <f t="shared" ref="N35" si="4">+H35*0.05</f>
        <v>0</v>
      </c>
      <c r="O35" s="64"/>
      <c r="P35" s="95">
        <f>+I35*0.13</f>
        <v>0</v>
      </c>
      <c r="Q35" s="64"/>
      <c r="R35" s="95">
        <f t="shared" ref="R35:R51" si="5">J35*0.25</f>
        <v>0</v>
      </c>
      <c r="S35" s="64"/>
      <c r="T35" s="101"/>
    </row>
    <row r="36" spans="1:20" x14ac:dyDescent="0.2">
      <c r="A36" s="191">
        <v>92</v>
      </c>
      <c r="B36" s="97">
        <v>73</v>
      </c>
      <c r="C36" s="107" t="s">
        <v>627</v>
      </c>
      <c r="D36" s="39">
        <v>45230</v>
      </c>
      <c r="E36" s="2" t="s">
        <v>589</v>
      </c>
      <c r="F36" s="2" t="s">
        <v>594</v>
      </c>
      <c r="G36" s="99">
        <v>26618043061</v>
      </c>
      <c r="H36" s="74"/>
      <c r="I36" s="74"/>
      <c r="J36" s="113">
        <v>305</v>
      </c>
      <c r="K36" s="100">
        <f t="shared" si="0"/>
        <v>381.25</v>
      </c>
      <c r="L36" s="95"/>
      <c r="M36" s="95">
        <f t="shared" si="1"/>
        <v>76.25</v>
      </c>
      <c r="N36" s="64"/>
      <c r="O36" s="64"/>
      <c r="P36" s="95">
        <f t="shared" ref="P36:P51" si="6">+I36*0.13</f>
        <v>0</v>
      </c>
      <c r="Q36" s="64"/>
      <c r="R36" s="95">
        <f t="shared" si="5"/>
        <v>76.25</v>
      </c>
      <c r="S36" s="64"/>
      <c r="T36" s="101"/>
    </row>
    <row r="37" spans="1:20" x14ac:dyDescent="0.2">
      <c r="A37" s="190">
        <v>93</v>
      </c>
      <c r="B37" s="97">
        <v>74</v>
      </c>
      <c r="C37" s="107" t="s">
        <v>628</v>
      </c>
      <c r="D37" s="39">
        <v>45230</v>
      </c>
      <c r="E37" s="145" t="s">
        <v>588</v>
      </c>
      <c r="F37" s="146" t="s">
        <v>595</v>
      </c>
      <c r="G37" s="147">
        <v>77465071491</v>
      </c>
      <c r="H37" s="74"/>
      <c r="I37" s="74">
        <v>15.93</v>
      </c>
      <c r="J37" s="113"/>
      <c r="K37" s="100">
        <f t="shared" ref="K37" si="7">H37+I37+J37+M37</f>
        <v>18.000900000000001</v>
      </c>
      <c r="L37" s="95"/>
      <c r="M37" s="95">
        <f t="shared" ref="M37" si="8">SUM(N37:S37)</f>
        <v>2.0709</v>
      </c>
      <c r="N37" s="64"/>
      <c r="O37" s="64"/>
      <c r="P37" s="95">
        <f t="shared" ref="P37" si="9">+I37*0.13</f>
        <v>2.0709</v>
      </c>
      <c r="Q37" s="64"/>
      <c r="R37" s="95">
        <f t="shared" ref="R37" si="10">J37*0.25</f>
        <v>0</v>
      </c>
      <c r="S37" s="64"/>
      <c r="T37" s="101"/>
    </row>
    <row r="38" spans="1:20" x14ac:dyDescent="0.2">
      <c r="A38" s="191">
        <v>94</v>
      </c>
      <c r="B38" s="97">
        <v>75</v>
      </c>
      <c r="C38" s="107" t="s">
        <v>629</v>
      </c>
      <c r="D38" s="39">
        <v>45230</v>
      </c>
      <c r="E38" s="2" t="s">
        <v>587</v>
      </c>
      <c r="F38" s="98" t="s">
        <v>607</v>
      </c>
      <c r="G38" s="99">
        <v>51260824290</v>
      </c>
      <c r="H38" s="74"/>
      <c r="I38" s="74">
        <v>3.32</v>
      </c>
      <c r="J38" s="113">
        <v>0</v>
      </c>
      <c r="K38" s="100">
        <f t="shared" si="0"/>
        <v>3.7515999999999998</v>
      </c>
      <c r="L38" s="95"/>
      <c r="M38" s="95">
        <f>SUM(N38:S38)</f>
        <v>0.43159999999999998</v>
      </c>
      <c r="N38" s="64">
        <f t="shared" ref="N38" si="11">+H38*0.05</f>
        <v>0</v>
      </c>
      <c r="O38" s="64"/>
      <c r="P38" s="95">
        <f t="shared" si="6"/>
        <v>0.43159999999999998</v>
      </c>
      <c r="Q38" s="64"/>
      <c r="R38" s="95">
        <f t="shared" si="5"/>
        <v>0</v>
      </c>
      <c r="S38" s="64"/>
      <c r="T38" s="101"/>
    </row>
    <row r="39" spans="1:20" x14ac:dyDescent="0.2">
      <c r="A39" s="190">
        <v>95</v>
      </c>
      <c r="B39" s="97">
        <v>76</v>
      </c>
      <c r="C39" s="107" t="s">
        <v>628</v>
      </c>
      <c r="D39" s="39">
        <v>45230</v>
      </c>
      <c r="E39" s="2" t="s">
        <v>587</v>
      </c>
      <c r="F39" s="98" t="s">
        <v>607</v>
      </c>
      <c r="G39" s="99">
        <v>51260824290</v>
      </c>
      <c r="H39" s="74"/>
      <c r="I39" s="74">
        <v>3.32</v>
      </c>
      <c r="J39" s="113"/>
      <c r="K39" s="100">
        <f t="shared" si="0"/>
        <v>3.7515999999999998</v>
      </c>
      <c r="L39" s="95"/>
      <c r="M39" s="95">
        <f t="shared" si="1"/>
        <v>0.43159999999999998</v>
      </c>
      <c r="N39" s="64"/>
      <c r="O39" s="64"/>
      <c r="P39" s="95">
        <f t="shared" si="6"/>
        <v>0.43159999999999998</v>
      </c>
      <c r="Q39" s="64"/>
      <c r="R39" s="95">
        <f t="shared" si="5"/>
        <v>0</v>
      </c>
      <c r="S39" s="64"/>
      <c r="T39" s="101"/>
    </row>
    <row r="40" spans="1:20" x14ac:dyDescent="0.2">
      <c r="A40" s="191">
        <v>96</v>
      </c>
      <c r="B40" s="97">
        <v>77</v>
      </c>
      <c r="C40" s="107" t="s">
        <v>630</v>
      </c>
      <c r="D40" s="39">
        <v>45230</v>
      </c>
      <c r="E40" s="2" t="s">
        <v>587</v>
      </c>
      <c r="F40" s="98" t="s">
        <v>607</v>
      </c>
      <c r="G40" s="99">
        <v>51260824290</v>
      </c>
      <c r="H40" s="74"/>
      <c r="I40" s="74">
        <v>3.32</v>
      </c>
      <c r="J40" s="113"/>
      <c r="K40" s="100">
        <f t="shared" si="0"/>
        <v>3.7515999999999998</v>
      </c>
      <c r="L40" s="95"/>
      <c r="M40" s="95">
        <f t="shared" si="1"/>
        <v>0.43159999999999998</v>
      </c>
      <c r="N40" s="64">
        <f t="shared" ref="N40" si="12">+H40*0.05</f>
        <v>0</v>
      </c>
      <c r="O40" s="64"/>
      <c r="P40" s="95">
        <f t="shared" si="6"/>
        <v>0.43159999999999998</v>
      </c>
      <c r="Q40" s="64"/>
      <c r="R40" s="95">
        <f t="shared" si="5"/>
        <v>0</v>
      </c>
      <c r="S40" s="64"/>
      <c r="T40" s="101"/>
    </row>
    <row r="41" spans="1:20" ht="13.5" thickBot="1" x14ac:dyDescent="0.25">
      <c r="A41" s="190">
        <v>97</v>
      </c>
      <c r="B41" s="138">
        <v>78</v>
      </c>
      <c r="C41" s="148" t="s">
        <v>631</v>
      </c>
      <c r="D41" s="149">
        <v>45230</v>
      </c>
      <c r="E41" s="145" t="s">
        <v>632</v>
      </c>
      <c r="F41" s="146" t="s">
        <v>633</v>
      </c>
      <c r="G41" s="147">
        <v>81793146560</v>
      </c>
      <c r="H41" s="74"/>
      <c r="I41" s="74"/>
      <c r="J41" s="113">
        <v>26.64</v>
      </c>
      <c r="K41" s="100">
        <f t="shared" ref="K41:K42" si="13">H41+I41+J41+M41</f>
        <v>33.299999999999997</v>
      </c>
      <c r="L41" s="95"/>
      <c r="M41" s="95">
        <f t="shared" ref="M41:M42" si="14">SUM(N41:S41)</f>
        <v>6.66</v>
      </c>
      <c r="N41" s="64">
        <f t="shared" ref="N41" si="15">+H41*0.05</f>
        <v>0</v>
      </c>
      <c r="O41" s="64"/>
      <c r="P41" s="95">
        <f t="shared" ref="P41" si="16">+I41*0.13</f>
        <v>0</v>
      </c>
      <c r="Q41" s="64"/>
      <c r="R41" s="95">
        <f t="shared" ref="R41" si="17">J41*0.25</f>
        <v>6.66</v>
      </c>
      <c r="S41" s="64"/>
      <c r="T41" s="101"/>
    </row>
    <row r="42" spans="1:20" x14ac:dyDescent="0.2">
      <c r="A42" s="189">
        <v>98</v>
      </c>
      <c r="B42" s="142">
        <v>79</v>
      </c>
      <c r="C42" s="143" t="s">
        <v>623</v>
      </c>
      <c r="D42" s="150">
        <v>45238</v>
      </c>
      <c r="E42" s="151" t="s">
        <v>608</v>
      </c>
      <c r="F42" s="152" t="s">
        <v>609</v>
      </c>
      <c r="G42" s="153">
        <v>43965974818</v>
      </c>
      <c r="H42" s="74"/>
      <c r="I42" s="74">
        <v>2.52</v>
      </c>
      <c r="J42" s="113"/>
      <c r="K42" s="100">
        <f t="shared" si="13"/>
        <v>2.8475999999999999</v>
      </c>
      <c r="L42" s="95"/>
      <c r="M42" s="95">
        <f t="shared" si="14"/>
        <v>0.3276</v>
      </c>
      <c r="N42" s="64">
        <f t="shared" ref="N42" si="18">+H42*0.05</f>
        <v>0</v>
      </c>
      <c r="O42" s="64"/>
      <c r="P42" s="95">
        <f t="shared" ref="P42" si="19">+I42*0.13</f>
        <v>0.3276</v>
      </c>
      <c r="Q42" s="64"/>
      <c r="R42" s="95">
        <f t="shared" ref="R42" si="20">J42*0.25</f>
        <v>0</v>
      </c>
      <c r="S42" s="64"/>
      <c r="T42" s="101"/>
    </row>
    <row r="43" spans="1:20" x14ac:dyDescent="0.2">
      <c r="A43" s="190">
        <v>99</v>
      </c>
      <c r="B43" s="97">
        <v>80</v>
      </c>
      <c r="C43" s="107" t="s">
        <v>634</v>
      </c>
      <c r="D43" s="39">
        <v>45238</v>
      </c>
      <c r="E43" s="2" t="s">
        <v>608</v>
      </c>
      <c r="F43" s="98" t="s">
        <v>609</v>
      </c>
      <c r="G43" s="99">
        <v>43965974818</v>
      </c>
      <c r="H43" s="74"/>
      <c r="I43" s="74">
        <v>4.3600000000000003</v>
      </c>
      <c r="J43" s="113"/>
      <c r="K43" s="100">
        <f t="shared" si="0"/>
        <v>4.9268000000000001</v>
      </c>
      <c r="L43" s="95"/>
      <c r="M43" s="95">
        <f t="shared" si="1"/>
        <v>0.56680000000000008</v>
      </c>
      <c r="N43" s="64"/>
      <c r="O43" s="64"/>
      <c r="P43" s="95">
        <f t="shared" si="6"/>
        <v>0.56680000000000008</v>
      </c>
      <c r="Q43" s="64"/>
      <c r="R43" s="95">
        <f t="shared" si="5"/>
        <v>0</v>
      </c>
      <c r="S43" s="64"/>
      <c r="T43" s="101"/>
    </row>
    <row r="44" spans="1:20" x14ac:dyDescent="0.2">
      <c r="A44" s="191">
        <v>100</v>
      </c>
      <c r="B44" s="97">
        <v>81</v>
      </c>
      <c r="C44" s="107" t="s">
        <v>622</v>
      </c>
      <c r="D44" s="39">
        <v>45238</v>
      </c>
      <c r="E44" s="2" t="s">
        <v>608</v>
      </c>
      <c r="F44" s="98" t="s">
        <v>609</v>
      </c>
      <c r="G44" s="99">
        <v>43965974818</v>
      </c>
      <c r="H44" s="74"/>
      <c r="I44" s="74">
        <v>3.03</v>
      </c>
      <c r="J44" s="113"/>
      <c r="K44" s="100">
        <f t="shared" si="0"/>
        <v>3.4238999999999997</v>
      </c>
      <c r="L44" s="95"/>
      <c r="M44" s="95">
        <f t="shared" si="1"/>
        <v>0.39389999999999997</v>
      </c>
      <c r="N44" s="64"/>
      <c r="O44" s="64"/>
      <c r="P44" s="95">
        <f t="shared" si="6"/>
        <v>0.39389999999999997</v>
      </c>
      <c r="Q44" s="64"/>
      <c r="R44" s="95">
        <f t="shared" si="5"/>
        <v>0</v>
      </c>
      <c r="S44" s="64"/>
      <c r="T44" s="101"/>
    </row>
    <row r="45" spans="1:20" x14ac:dyDescent="0.2">
      <c r="A45" s="190">
        <v>101</v>
      </c>
      <c r="B45" s="97">
        <v>82</v>
      </c>
      <c r="C45" s="107" t="s">
        <v>621</v>
      </c>
      <c r="D45" s="39">
        <v>45238</v>
      </c>
      <c r="E45" s="2" t="s">
        <v>608</v>
      </c>
      <c r="F45" s="98" t="s">
        <v>609</v>
      </c>
      <c r="G45" s="99">
        <v>43965974818</v>
      </c>
      <c r="H45" s="74"/>
      <c r="I45" s="74">
        <v>2.52</v>
      </c>
      <c r="J45" s="113"/>
      <c r="K45" s="100">
        <f t="shared" si="0"/>
        <v>2.8475999999999999</v>
      </c>
      <c r="L45" s="95"/>
      <c r="M45" s="95">
        <f t="shared" si="1"/>
        <v>0.3276</v>
      </c>
      <c r="N45" s="64">
        <f t="shared" ref="N45" si="21">+H45*0.05</f>
        <v>0</v>
      </c>
      <c r="O45" s="64"/>
      <c r="P45" s="95">
        <f t="shared" si="6"/>
        <v>0.3276</v>
      </c>
      <c r="Q45" s="64"/>
      <c r="R45" s="95">
        <f t="shared" si="5"/>
        <v>0</v>
      </c>
      <c r="S45" s="64"/>
      <c r="T45" s="101"/>
    </row>
    <row r="46" spans="1:20" x14ac:dyDescent="0.2">
      <c r="A46" s="191">
        <v>102</v>
      </c>
      <c r="B46" s="97">
        <v>83</v>
      </c>
      <c r="C46" s="107" t="s">
        <v>635</v>
      </c>
      <c r="D46" s="39">
        <v>45260</v>
      </c>
      <c r="E46" s="2" t="s">
        <v>589</v>
      </c>
      <c r="F46" s="2" t="s">
        <v>594</v>
      </c>
      <c r="G46" s="99">
        <v>26618043061</v>
      </c>
      <c r="H46" s="74"/>
      <c r="I46" s="74"/>
      <c r="J46" s="113">
        <v>50</v>
      </c>
      <c r="K46" s="100">
        <f t="shared" ref="K46" si="22">H46+I46+J46+M46</f>
        <v>62.5</v>
      </c>
      <c r="L46" s="95"/>
      <c r="M46" s="95">
        <f t="shared" ref="M46" si="23">SUM(N46:S46)</f>
        <v>12.5</v>
      </c>
      <c r="N46" s="64">
        <f t="shared" ref="N46" si="24">+H46*0.05</f>
        <v>0</v>
      </c>
      <c r="O46" s="64"/>
      <c r="P46" s="95">
        <f t="shared" ref="P46" si="25">+I46*0.13</f>
        <v>0</v>
      </c>
      <c r="Q46" s="64"/>
      <c r="R46" s="95">
        <f t="shared" ref="R46" si="26">J46*0.25</f>
        <v>12.5</v>
      </c>
      <c r="S46" s="64"/>
      <c r="T46" s="101"/>
    </row>
    <row r="47" spans="1:20" x14ac:dyDescent="0.2">
      <c r="A47" s="190">
        <v>103</v>
      </c>
      <c r="B47" s="97">
        <v>84</v>
      </c>
      <c r="C47" s="107" t="s">
        <v>636</v>
      </c>
      <c r="D47" s="39">
        <v>45260</v>
      </c>
      <c r="E47" s="145" t="s">
        <v>588</v>
      </c>
      <c r="F47" s="146" t="s">
        <v>595</v>
      </c>
      <c r="G47" s="147">
        <v>77465071491</v>
      </c>
      <c r="H47" s="74"/>
      <c r="I47" s="74">
        <v>15.93</v>
      </c>
      <c r="J47" s="113"/>
      <c r="K47" s="100">
        <f t="shared" si="0"/>
        <v>18.000900000000001</v>
      </c>
      <c r="L47" s="95"/>
      <c r="M47" s="95">
        <f t="shared" si="1"/>
        <v>2.0709</v>
      </c>
      <c r="N47" s="64"/>
      <c r="O47" s="64"/>
      <c r="P47" s="95">
        <f t="shared" si="6"/>
        <v>2.0709</v>
      </c>
      <c r="Q47" s="64"/>
      <c r="R47" s="95">
        <f t="shared" si="5"/>
        <v>0</v>
      </c>
      <c r="S47" s="64"/>
      <c r="T47" s="101"/>
    </row>
    <row r="48" spans="1:20" x14ac:dyDescent="0.2">
      <c r="A48" s="191">
        <v>104</v>
      </c>
      <c r="B48" s="97">
        <v>85</v>
      </c>
      <c r="C48" s="107" t="s">
        <v>636</v>
      </c>
      <c r="D48" s="39">
        <v>45260</v>
      </c>
      <c r="E48" s="2" t="s">
        <v>587</v>
      </c>
      <c r="F48" s="98" t="s">
        <v>607</v>
      </c>
      <c r="G48" s="99">
        <v>51260824290</v>
      </c>
      <c r="H48" s="74">
        <v>0</v>
      </c>
      <c r="I48" s="74">
        <v>3.32</v>
      </c>
      <c r="J48" s="113"/>
      <c r="K48" s="100">
        <f t="shared" si="0"/>
        <v>3.7515999999999998</v>
      </c>
      <c r="L48" s="95"/>
      <c r="M48" s="95">
        <f t="shared" si="1"/>
        <v>0.43159999999999998</v>
      </c>
      <c r="N48" s="64">
        <f t="shared" ref="N48" si="27">+H48*0.05</f>
        <v>0</v>
      </c>
      <c r="O48" s="64"/>
      <c r="P48" s="95">
        <f t="shared" si="6"/>
        <v>0.43159999999999998</v>
      </c>
      <c r="Q48" s="64"/>
      <c r="R48" s="95">
        <f t="shared" si="5"/>
        <v>0</v>
      </c>
      <c r="S48" s="64"/>
      <c r="T48" s="101"/>
    </row>
    <row r="49" spans="1:20" x14ac:dyDescent="0.2">
      <c r="A49" s="190">
        <v>105</v>
      </c>
      <c r="B49" s="97">
        <v>86</v>
      </c>
      <c r="C49" s="107" t="s">
        <v>637</v>
      </c>
      <c r="D49" s="39">
        <v>45260</v>
      </c>
      <c r="E49" s="2" t="s">
        <v>587</v>
      </c>
      <c r="F49" s="98" t="s">
        <v>607</v>
      </c>
      <c r="G49" s="99">
        <v>51260824290</v>
      </c>
      <c r="H49" s="74"/>
      <c r="I49" s="74">
        <v>3.32</v>
      </c>
      <c r="J49" s="113">
        <v>0</v>
      </c>
      <c r="K49" s="100">
        <f t="shared" si="0"/>
        <v>3.7515999999999998</v>
      </c>
      <c r="L49" s="95"/>
      <c r="M49" s="95">
        <f t="shared" si="1"/>
        <v>0.43159999999999998</v>
      </c>
      <c r="N49" s="64"/>
      <c r="O49" s="64"/>
      <c r="P49" s="95">
        <f t="shared" si="6"/>
        <v>0.43159999999999998</v>
      </c>
      <c r="Q49" s="64"/>
      <c r="R49" s="95">
        <f t="shared" si="5"/>
        <v>0</v>
      </c>
      <c r="S49" s="64"/>
      <c r="T49" s="101"/>
    </row>
    <row r="50" spans="1:20" ht="13.5" thickBot="1" x14ac:dyDescent="0.25">
      <c r="A50" s="191">
        <v>106</v>
      </c>
      <c r="B50" s="138">
        <v>87</v>
      </c>
      <c r="C50" s="148" t="s">
        <v>638</v>
      </c>
      <c r="D50" s="149">
        <v>45260</v>
      </c>
      <c r="E50" s="2" t="s">
        <v>587</v>
      </c>
      <c r="F50" s="98" t="s">
        <v>607</v>
      </c>
      <c r="G50" s="99">
        <v>51260824290</v>
      </c>
      <c r="H50" s="74"/>
      <c r="I50" s="74">
        <v>3.32</v>
      </c>
      <c r="J50" s="113">
        <v>0</v>
      </c>
      <c r="K50" s="100">
        <f t="shared" ref="K50" si="28">H50+I50+J50+M50</f>
        <v>3.7515999999999998</v>
      </c>
      <c r="L50" s="95"/>
      <c r="M50" s="95">
        <f t="shared" ref="M50" si="29">SUM(N50:S50)</f>
        <v>0.43159999999999998</v>
      </c>
      <c r="N50" s="64"/>
      <c r="O50" s="64"/>
      <c r="P50" s="95">
        <f t="shared" ref="P50" si="30">+I50*0.13</f>
        <v>0.43159999999999998</v>
      </c>
      <c r="Q50" s="64"/>
      <c r="R50" s="95">
        <f t="shared" ref="R50" si="31">J50*0.25</f>
        <v>0</v>
      </c>
      <c r="S50" s="64"/>
      <c r="T50" s="101"/>
    </row>
    <row r="51" spans="1:20" x14ac:dyDescent="0.2">
      <c r="A51" s="189">
        <v>107</v>
      </c>
      <c r="B51" s="142">
        <v>88</v>
      </c>
      <c r="C51" s="143" t="s">
        <v>622</v>
      </c>
      <c r="D51" s="150">
        <v>45266</v>
      </c>
      <c r="E51" s="151" t="s">
        <v>608</v>
      </c>
      <c r="F51" s="152" t="s">
        <v>609</v>
      </c>
      <c r="G51" s="153">
        <v>43965974818</v>
      </c>
      <c r="H51" s="74"/>
      <c r="I51" s="74">
        <v>2.52</v>
      </c>
      <c r="J51" s="113"/>
      <c r="K51" s="100">
        <f t="shared" si="0"/>
        <v>2.8475999999999999</v>
      </c>
      <c r="L51" s="95"/>
      <c r="M51" s="95">
        <f t="shared" si="1"/>
        <v>0.3276</v>
      </c>
      <c r="N51" s="64"/>
      <c r="O51" s="64"/>
      <c r="P51" s="95">
        <f t="shared" si="6"/>
        <v>0.3276</v>
      </c>
      <c r="Q51" s="64"/>
      <c r="R51" s="95">
        <f t="shared" si="5"/>
        <v>0</v>
      </c>
      <c r="S51" s="64"/>
      <c r="T51" s="101"/>
    </row>
    <row r="52" spans="1:20" x14ac:dyDescent="0.2">
      <c r="A52" s="191">
        <v>108</v>
      </c>
      <c r="B52" s="97">
        <v>89</v>
      </c>
      <c r="C52" s="107" t="s">
        <v>621</v>
      </c>
      <c r="D52" s="39">
        <v>45266</v>
      </c>
      <c r="E52" s="2" t="s">
        <v>608</v>
      </c>
      <c r="F52" s="98" t="s">
        <v>609</v>
      </c>
      <c r="G52" s="99">
        <v>43965974818</v>
      </c>
      <c r="H52" s="74"/>
      <c r="I52" s="74">
        <v>2.52</v>
      </c>
      <c r="J52" s="113"/>
      <c r="K52" s="100">
        <f t="shared" ref="K52:K60" si="32">H52+I52+J52+M52</f>
        <v>2.8475999999999999</v>
      </c>
      <c r="L52" s="95"/>
      <c r="M52" s="95">
        <f t="shared" ref="M52:M60" si="33">SUM(N52:S52)</f>
        <v>0.3276</v>
      </c>
      <c r="N52" s="64"/>
      <c r="O52" s="64"/>
      <c r="P52" s="95">
        <f t="shared" ref="P52:P60" si="34">+I52*0.13</f>
        <v>0.3276</v>
      </c>
      <c r="Q52" s="64"/>
      <c r="R52" s="95">
        <f t="shared" ref="R52:R60" si="35">J52*0.25</f>
        <v>0</v>
      </c>
      <c r="S52" s="64"/>
      <c r="T52" s="101"/>
    </row>
    <row r="53" spans="1:20" x14ac:dyDescent="0.2">
      <c r="A53" s="190">
        <v>109</v>
      </c>
      <c r="B53" s="97">
        <v>90</v>
      </c>
      <c r="C53" s="107" t="s">
        <v>623</v>
      </c>
      <c r="D53" s="39">
        <v>45266</v>
      </c>
      <c r="E53" s="2" t="s">
        <v>608</v>
      </c>
      <c r="F53" s="98" t="s">
        <v>609</v>
      </c>
      <c r="G53" s="99">
        <v>43965974818</v>
      </c>
      <c r="H53" s="74"/>
      <c r="I53" s="74">
        <v>2.52</v>
      </c>
      <c r="J53" s="113"/>
      <c r="K53" s="100">
        <f t="shared" si="32"/>
        <v>2.8475999999999999</v>
      </c>
      <c r="L53" s="95"/>
      <c r="M53" s="95">
        <f t="shared" si="33"/>
        <v>0.3276</v>
      </c>
      <c r="N53" s="64"/>
      <c r="O53" s="64"/>
      <c r="P53" s="95">
        <f t="shared" si="34"/>
        <v>0.3276</v>
      </c>
      <c r="Q53" s="64"/>
      <c r="R53" s="95">
        <f t="shared" si="35"/>
        <v>0</v>
      </c>
      <c r="S53" s="64"/>
      <c r="T53" s="101"/>
    </row>
    <row r="54" spans="1:20" x14ac:dyDescent="0.2">
      <c r="A54" s="191">
        <v>110</v>
      </c>
      <c r="B54" s="97">
        <v>91</v>
      </c>
      <c r="C54" s="107" t="s">
        <v>634</v>
      </c>
      <c r="D54" s="39">
        <v>45266</v>
      </c>
      <c r="E54" s="2" t="s">
        <v>608</v>
      </c>
      <c r="F54" s="98" t="s">
        <v>609</v>
      </c>
      <c r="G54" s="99">
        <v>43965974818</v>
      </c>
      <c r="H54" s="74"/>
      <c r="I54" s="74">
        <v>3.07</v>
      </c>
      <c r="J54" s="113"/>
      <c r="K54" s="100">
        <f t="shared" si="32"/>
        <v>3.4691000000000001</v>
      </c>
      <c r="L54" s="95"/>
      <c r="M54" s="95">
        <f t="shared" si="33"/>
        <v>0.39910000000000001</v>
      </c>
      <c r="N54" s="64"/>
      <c r="O54" s="64"/>
      <c r="P54" s="95">
        <f t="shared" si="34"/>
        <v>0.39910000000000001</v>
      </c>
      <c r="Q54" s="64"/>
      <c r="R54" s="95">
        <f t="shared" si="35"/>
        <v>0</v>
      </c>
      <c r="S54" s="64"/>
      <c r="T54" s="101"/>
    </row>
    <row r="55" spans="1:20" x14ac:dyDescent="0.2">
      <c r="A55" s="190">
        <v>111</v>
      </c>
      <c r="B55" s="97">
        <v>92</v>
      </c>
      <c r="C55" s="107" t="s">
        <v>639</v>
      </c>
      <c r="D55" s="39">
        <v>45291</v>
      </c>
      <c r="E55" s="145" t="s">
        <v>588</v>
      </c>
      <c r="F55" s="146" t="s">
        <v>595</v>
      </c>
      <c r="G55" s="147">
        <v>77465071491</v>
      </c>
      <c r="H55" s="74"/>
      <c r="I55" s="74">
        <v>15.93</v>
      </c>
      <c r="J55" s="113"/>
      <c r="K55" s="100">
        <f t="shared" si="32"/>
        <v>18.000900000000001</v>
      </c>
      <c r="L55" s="95"/>
      <c r="M55" s="95">
        <f t="shared" si="33"/>
        <v>2.0709</v>
      </c>
      <c r="N55" s="64"/>
      <c r="O55" s="64"/>
      <c r="P55" s="95">
        <f t="shared" si="34"/>
        <v>2.0709</v>
      </c>
      <c r="Q55" s="64"/>
      <c r="R55" s="95">
        <f t="shared" si="35"/>
        <v>0</v>
      </c>
      <c r="S55" s="64"/>
      <c r="T55" s="101"/>
    </row>
    <row r="56" spans="1:20" x14ac:dyDescent="0.2">
      <c r="A56" s="191">
        <v>112</v>
      </c>
      <c r="B56" s="97">
        <v>93</v>
      </c>
      <c r="C56" s="107" t="s">
        <v>640</v>
      </c>
      <c r="D56" s="39">
        <v>45291</v>
      </c>
      <c r="E56" s="2" t="s">
        <v>587</v>
      </c>
      <c r="F56" s="98" t="s">
        <v>607</v>
      </c>
      <c r="G56" s="99">
        <v>51260824290</v>
      </c>
      <c r="H56" s="74"/>
      <c r="I56" s="74">
        <v>3.32</v>
      </c>
      <c r="J56" s="113"/>
      <c r="K56" s="100">
        <f t="shared" si="32"/>
        <v>3.7515999999999998</v>
      </c>
      <c r="L56" s="95"/>
      <c r="M56" s="95">
        <f t="shared" si="33"/>
        <v>0.43159999999999998</v>
      </c>
      <c r="N56" s="64"/>
      <c r="O56" s="64"/>
      <c r="P56" s="95">
        <f t="shared" si="34"/>
        <v>0.43159999999999998</v>
      </c>
      <c r="Q56" s="64"/>
      <c r="R56" s="95">
        <f t="shared" si="35"/>
        <v>0</v>
      </c>
      <c r="S56" s="64"/>
      <c r="T56" s="101"/>
    </row>
    <row r="57" spans="1:20" x14ac:dyDescent="0.2">
      <c r="A57" s="190">
        <v>113</v>
      </c>
      <c r="B57" s="97">
        <v>94</v>
      </c>
      <c r="C57" s="107" t="s">
        <v>641</v>
      </c>
      <c r="D57" s="39">
        <v>45291</v>
      </c>
      <c r="E57" s="2" t="s">
        <v>587</v>
      </c>
      <c r="F57" s="98" t="s">
        <v>607</v>
      </c>
      <c r="G57" s="99">
        <v>51260824290</v>
      </c>
      <c r="H57" s="74"/>
      <c r="I57" s="74">
        <v>3.32</v>
      </c>
      <c r="J57" s="113"/>
      <c r="K57" s="100">
        <f t="shared" si="32"/>
        <v>3.7515999999999998</v>
      </c>
      <c r="L57" s="95"/>
      <c r="M57" s="95">
        <f t="shared" si="33"/>
        <v>0.43159999999999998</v>
      </c>
      <c r="N57" s="64"/>
      <c r="O57" s="64"/>
      <c r="P57" s="95">
        <f t="shared" si="34"/>
        <v>0.43159999999999998</v>
      </c>
      <c r="Q57" s="64"/>
      <c r="R57" s="95">
        <f t="shared" si="35"/>
        <v>0</v>
      </c>
      <c r="S57" s="64"/>
      <c r="T57" s="101"/>
    </row>
    <row r="58" spans="1:20" x14ac:dyDescent="0.2">
      <c r="A58" s="190">
        <v>114</v>
      </c>
      <c r="B58" s="138">
        <v>95</v>
      </c>
      <c r="C58" s="148" t="s">
        <v>639</v>
      </c>
      <c r="D58" s="149">
        <v>45291</v>
      </c>
      <c r="E58" s="145" t="s">
        <v>587</v>
      </c>
      <c r="F58" s="146" t="s">
        <v>607</v>
      </c>
      <c r="G58" s="147">
        <v>51260824290</v>
      </c>
      <c r="H58" s="74"/>
      <c r="I58" s="74">
        <v>3.32</v>
      </c>
      <c r="J58" s="113"/>
      <c r="K58" s="100">
        <f t="shared" si="32"/>
        <v>3.7515999999999998</v>
      </c>
      <c r="L58" s="95"/>
      <c r="M58" s="95">
        <f t="shared" si="33"/>
        <v>0.43159999999999998</v>
      </c>
      <c r="N58" s="64"/>
      <c r="O58" s="64"/>
      <c r="P58" s="95">
        <f t="shared" si="34"/>
        <v>0.43159999999999998</v>
      </c>
      <c r="Q58" s="64"/>
      <c r="R58" s="95">
        <f t="shared" si="35"/>
        <v>0</v>
      </c>
      <c r="S58" s="64"/>
      <c r="T58" s="101"/>
    </row>
    <row r="59" spans="1:20" ht="13.5" thickBot="1" x14ac:dyDescent="0.25">
      <c r="A59" s="192">
        <v>115</v>
      </c>
      <c r="B59" s="157">
        <v>96</v>
      </c>
      <c r="C59" s="158" t="s">
        <v>642</v>
      </c>
      <c r="D59" s="159">
        <v>45291</v>
      </c>
      <c r="E59" s="160" t="s">
        <v>589</v>
      </c>
      <c r="F59" s="160" t="s">
        <v>594</v>
      </c>
      <c r="G59" s="161">
        <v>26618043061</v>
      </c>
      <c r="H59" s="74"/>
      <c r="I59" s="74"/>
      <c r="J59" s="113">
        <v>50</v>
      </c>
      <c r="K59" s="100">
        <f t="shared" si="32"/>
        <v>62.5</v>
      </c>
      <c r="L59" s="95"/>
      <c r="M59" s="95">
        <f t="shared" si="33"/>
        <v>12.5</v>
      </c>
      <c r="N59" s="64"/>
      <c r="O59" s="64"/>
      <c r="P59" s="95">
        <f t="shared" si="34"/>
        <v>0</v>
      </c>
      <c r="Q59" s="64"/>
      <c r="R59" s="95">
        <f t="shared" si="35"/>
        <v>12.5</v>
      </c>
      <c r="S59" s="64"/>
      <c r="T59" s="101"/>
    </row>
    <row r="60" spans="1:20" x14ac:dyDescent="0.2">
      <c r="A60" s="191"/>
      <c r="B60" s="144"/>
      <c r="C60" s="137"/>
      <c r="D60" s="141"/>
      <c r="E60" s="154"/>
      <c r="F60" s="155"/>
      <c r="G60" s="156"/>
      <c r="H60" s="74"/>
      <c r="I60" s="74"/>
      <c r="J60" s="113"/>
      <c r="K60" s="100">
        <f t="shared" si="32"/>
        <v>0</v>
      </c>
      <c r="L60" s="95"/>
      <c r="M60" s="95">
        <f t="shared" si="33"/>
        <v>0</v>
      </c>
      <c r="N60" s="64"/>
      <c r="O60" s="64"/>
      <c r="P60" s="95">
        <f t="shared" si="34"/>
        <v>0</v>
      </c>
      <c r="Q60" s="64"/>
      <c r="R60" s="95">
        <f t="shared" si="35"/>
        <v>0</v>
      </c>
      <c r="S60" s="64"/>
      <c r="T60" s="101"/>
    </row>
    <row r="61" spans="1:20" x14ac:dyDescent="0.2">
      <c r="A61" s="191">
        <v>1</v>
      </c>
      <c r="B61" s="144">
        <v>1</v>
      </c>
      <c r="C61" s="137" t="s">
        <v>623</v>
      </c>
      <c r="D61" s="141">
        <v>45299</v>
      </c>
      <c r="E61" s="2" t="s">
        <v>608</v>
      </c>
      <c r="F61" s="98" t="s">
        <v>609</v>
      </c>
      <c r="G61" s="99">
        <v>43965974818</v>
      </c>
      <c r="H61" s="74"/>
      <c r="I61" s="74">
        <v>2.52</v>
      </c>
      <c r="J61" s="113"/>
      <c r="K61" s="100">
        <f t="shared" ref="K61:K74" si="36">H61+I61+J61+M61</f>
        <v>2.8976000000000002</v>
      </c>
      <c r="L61" s="95"/>
      <c r="M61" s="95">
        <f t="shared" ref="M61:M74" si="37">SUM(N61:S61)</f>
        <v>0.37759999999999999</v>
      </c>
      <c r="N61" s="64"/>
      <c r="O61" s="64"/>
      <c r="P61" s="95">
        <f t="shared" ref="P61:P74" si="38">+I61*0.13</f>
        <v>0.3276</v>
      </c>
      <c r="Q61" s="64">
        <v>0.05</v>
      </c>
      <c r="R61" s="95">
        <f t="shared" ref="R61:R74" si="39">J61*0.25</f>
        <v>0</v>
      </c>
      <c r="S61" s="64"/>
      <c r="T61" s="101"/>
    </row>
    <row r="62" spans="1:20" x14ac:dyDescent="0.2">
      <c r="A62" s="191">
        <v>2</v>
      </c>
      <c r="B62" s="144">
        <v>2</v>
      </c>
      <c r="C62" s="137" t="s">
        <v>634</v>
      </c>
      <c r="D62" s="141">
        <v>45299</v>
      </c>
      <c r="E62" s="2" t="s">
        <v>608</v>
      </c>
      <c r="F62" s="98" t="s">
        <v>609</v>
      </c>
      <c r="G62" s="99">
        <v>43965974818</v>
      </c>
      <c r="H62" s="74"/>
      <c r="I62" s="74">
        <v>2.52</v>
      </c>
      <c r="J62" s="113"/>
      <c r="K62" s="100">
        <f t="shared" si="36"/>
        <v>2.8475999999999999</v>
      </c>
      <c r="L62" s="95"/>
      <c r="M62" s="95">
        <f t="shared" si="37"/>
        <v>0.3276</v>
      </c>
      <c r="N62" s="64"/>
      <c r="O62" s="64"/>
      <c r="P62" s="95">
        <f t="shared" si="38"/>
        <v>0.3276</v>
      </c>
      <c r="Q62" s="64"/>
      <c r="R62" s="95">
        <f t="shared" si="39"/>
        <v>0</v>
      </c>
      <c r="S62" s="64"/>
      <c r="T62" s="101"/>
    </row>
    <row r="63" spans="1:20" x14ac:dyDescent="0.2">
      <c r="A63" s="191">
        <v>3</v>
      </c>
      <c r="B63" s="144">
        <v>3</v>
      </c>
      <c r="C63" s="137" t="s">
        <v>622</v>
      </c>
      <c r="D63" s="141">
        <v>45299</v>
      </c>
      <c r="E63" s="2" t="s">
        <v>608</v>
      </c>
      <c r="F63" s="98" t="s">
        <v>609</v>
      </c>
      <c r="G63" s="99">
        <v>43965974818</v>
      </c>
      <c r="H63" s="74"/>
      <c r="I63" s="74">
        <v>2.52</v>
      </c>
      <c r="J63" s="113"/>
      <c r="K63" s="100">
        <f t="shared" si="36"/>
        <v>2.9476</v>
      </c>
      <c r="L63" s="95"/>
      <c r="M63" s="95">
        <f t="shared" si="37"/>
        <v>0.42759999999999998</v>
      </c>
      <c r="N63" s="64"/>
      <c r="O63" s="64"/>
      <c r="P63" s="95">
        <f t="shared" si="38"/>
        <v>0.3276</v>
      </c>
      <c r="Q63" s="64">
        <v>0.1</v>
      </c>
      <c r="R63" s="95">
        <f t="shared" si="39"/>
        <v>0</v>
      </c>
      <c r="S63" s="64"/>
      <c r="T63" s="101"/>
    </row>
    <row r="64" spans="1:20" x14ac:dyDescent="0.2">
      <c r="A64" s="191">
        <v>4</v>
      </c>
      <c r="B64" s="144">
        <v>4</v>
      </c>
      <c r="C64" s="137" t="s">
        <v>621</v>
      </c>
      <c r="D64" s="141">
        <v>45299</v>
      </c>
      <c r="E64" s="2" t="s">
        <v>608</v>
      </c>
      <c r="F64" s="98" t="s">
        <v>609</v>
      </c>
      <c r="G64" s="99">
        <v>43965974818</v>
      </c>
      <c r="H64" s="74"/>
      <c r="I64" s="74">
        <v>2.52</v>
      </c>
      <c r="J64" s="113"/>
      <c r="K64" s="100">
        <f t="shared" si="36"/>
        <v>2.8776000000000002</v>
      </c>
      <c r="L64" s="95"/>
      <c r="M64" s="95">
        <f t="shared" si="37"/>
        <v>0.35760000000000003</v>
      </c>
      <c r="N64" s="64"/>
      <c r="O64" s="64"/>
      <c r="P64" s="95">
        <f t="shared" si="38"/>
        <v>0.3276</v>
      </c>
      <c r="Q64" s="64">
        <v>0.03</v>
      </c>
      <c r="R64" s="95">
        <f t="shared" si="39"/>
        <v>0</v>
      </c>
      <c r="S64" s="64"/>
      <c r="T64" s="101"/>
    </row>
    <row r="65" spans="1:20" x14ac:dyDescent="0.2">
      <c r="A65" s="191">
        <v>6</v>
      </c>
      <c r="B65" s="144">
        <v>5</v>
      </c>
      <c r="C65" s="137" t="s">
        <v>650</v>
      </c>
      <c r="D65" s="141">
        <v>45322</v>
      </c>
      <c r="E65" s="145" t="s">
        <v>588</v>
      </c>
      <c r="F65" s="146" t="s">
        <v>595</v>
      </c>
      <c r="G65" s="147">
        <v>77465071491</v>
      </c>
      <c r="H65" s="74"/>
      <c r="I65" s="74">
        <v>15.93</v>
      </c>
      <c r="J65" s="113"/>
      <c r="K65" s="100">
        <f t="shared" si="36"/>
        <v>18.000900000000001</v>
      </c>
      <c r="L65" s="95"/>
      <c r="M65" s="95">
        <f t="shared" si="37"/>
        <v>2.0709</v>
      </c>
      <c r="N65" s="64"/>
      <c r="O65" s="64"/>
      <c r="P65" s="95">
        <f t="shared" si="38"/>
        <v>2.0709</v>
      </c>
      <c r="Q65" s="64"/>
      <c r="R65" s="95">
        <f t="shared" si="39"/>
        <v>0</v>
      </c>
      <c r="S65" s="64"/>
      <c r="T65" s="101"/>
    </row>
    <row r="66" spans="1:20" x14ac:dyDescent="0.2">
      <c r="A66" s="191">
        <v>7</v>
      </c>
      <c r="B66" s="144">
        <v>6</v>
      </c>
      <c r="C66" s="137" t="s">
        <v>650</v>
      </c>
      <c r="D66" s="141">
        <v>45322</v>
      </c>
      <c r="E66" s="2" t="s">
        <v>587</v>
      </c>
      <c r="F66" s="98" t="s">
        <v>607</v>
      </c>
      <c r="G66" s="99">
        <v>51260824290</v>
      </c>
      <c r="H66" s="74"/>
      <c r="I66" s="74">
        <v>3.32</v>
      </c>
      <c r="J66" s="113"/>
      <c r="K66" s="100">
        <f t="shared" si="36"/>
        <v>3.7515999999999998</v>
      </c>
      <c r="L66" s="95"/>
      <c r="M66" s="95">
        <f t="shared" si="37"/>
        <v>0.43159999999999998</v>
      </c>
      <c r="N66" s="64"/>
      <c r="O66" s="64"/>
      <c r="P66" s="95">
        <f t="shared" si="38"/>
        <v>0.43159999999999998</v>
      </c>
      <c r="Q66" s="64"/>
      <c r="R66" s="95">
        <f t="shared" si="39"/>
        <v>0</v>
      </c>
      <c r="S66" s="64"/>
      <c r="T66" s="101"/>
    </row>
    <row r="67" spans="1:20" x14ac:dyDescent="0.2">
      <c r="A67" s="191">
        <v>8</v>
      </c>
      <c r="B67" s="144">
        <v>7</v>
      </c>
      <c r="C67" s="137" t="s">
        <v>651</v>
      </c>
      <c r="D67" s="141">
        <v>45322</v>
      </c>
      <c r="E67" s="2" t="s">
        <v>587</v>
      </c>
      <c r="F67" s="98" t="s">
        <v>607</v>
      </c>
      <c r="G67" s="99">
        <v>51260824290</v>
      </c>
      <c r="H67" s="74"/>
      <c r="I67" s="74">
        <v>3.32</v>
      </c>
      <c r="J67" s="113"/>
      <c r="K67" s="100">
        <f t="shared" si="36"/>
        <v>3.7515999999999998</v>
      </c>
      <c r="L67" s="95"/>
      <c r="M67" s="95">
        <f t="shared" si="37"/>
        <v>0.43159999999999998</v>
      </c>
      <c r="N67" s="64"/>
      <c r="O67" s="64"/>
      <c r="P67" s="95">
        <f t="shared" si="38"/>
        <v>0.43159999999999998</v>
      </c>
      <c r="Q67" s="64"/>
      <c r="R67" s="95">
        <f t="shared" si="39"/>
        <v>0</v>
      </c>
      <c r="S67" s="64"/>
      <c r="T67" s="101"/>
    </row>
    <row r="68" spans="1:20" x14ac:dyDescent="0.2">
      <c r="A68" s="191">
        <v>9</v>
      </c>
      <c r="B68" s="144">
        <v>8</v>
      </c>
      <c r="C68" s="137" t="s">
        <v>652</v>
      </c>
      <c r="D68" s="141">
        <v>45322</v>
      </c>
      <c r="E68" s="145" t="s">
        <v>587</v>
      </c>
      <c r="F68" s="146" t="s">
        <v>607</v>
      </c>
      <c r="G68" s="147">
        <v>51260824290</v>
      </c>
      <c r="H68" s="74"/>
      <c r="I68" s="74">
        <v>3.32</v>
      </c>
      <c r="J68" s="113"/>
      <c r="K68" s="100">
        <f t="shared" si="36"/>
        <v>3.7515999999999998</v>
      </c>
      <c r="L68" s="95"/>
      <c r="M68" s="95">
        <f t="shared" si="37"/>
        <v>0.43159999999999998</v>
      </c>
      <c r="N68" s="64"/>
      <c r="O68" s="64"/>
      <c r="P68" s="95">
        <f t="shared" si="38"/>
        <v>0.43159999999999998</v>
      </c>
      <c r="Q68" s="64"/>
      <c r="R68" s="95">
        <f t="shared" si="39"/>
        <v>0</v>
      </c>
      <c r="S68" s="64"/>
    </row>
    <row r="69" spans="1:20" ht="13.5" thickBot="1" x14ac:dyDescent="0.25">
      <c r="A69" s="193">
        <v>10</v>
      </c>
      <c r="B69" s="168">
        <v>9</v>
      </c>
      <c r="C69" s="169" t="s">
        <v>653</v>
      </c>
      <c r="D69" s="170">
        <v>45322</v>
      </c>
      <c r="E69" s="160" t="s">
        <v>589</v>
      </c>
      <c r="F69" s="160" t="s">
        <v>594</v>
      </c>
      <c r="G69" s="161">
        <v>26618043061</v>
      </c>
      <c r="H69" s="74"/>
      <c r="I69" s="74"/>
      <c r="J69" s="113">
        <v>187.5</v>
      </c>
      <c r="K69" s="100">
        <f t="shared" si="36"/>
        <v>234.375</v>
      </c>
      <c r="L69" s="95"/>
      <c r="M69" s="95">
        <f t="shared" si="37"/>
        <v>46.875</v>
      </c>
      <c r="N69" s="64"/>
      <c r="O69" s="64"/>
      <c r="P69" s="95">
        <f t="shared" si="38"/>
        <v>0</v>
      </c>
      <c r="Q69" s="64"/>
      <c r="R69" s="95">
        <f t="shared" si="39"/>
        <v>46.875</v>
      </c>
      <c r="S69" s="64"/>
    </row>
    <row r="70" spans="1:20" x14ac:dyDescent="0.2">
      <c r="A70" s="191">
        <v>14</v>
      </c>
      <c r="B70" s="144">
        <v>10</v>
      </c>
      <c r="C70" s="137" t="s">
        <v>665</v>
      </c>
      <c r="D70" s="141">
        <v>45327</v>
      </c>
      <c r="E70" s="154" t="s">
        <v>666</v>
      </c>
      <c r="F70" s="155" t="s">
        <v>667</v>
      </c>
      <c r="G70" s="156">
        <v>57500462912</v>
      </c>
      <c r="H70" s="74"/>
      <c r="I70" s="74"/>
      <c r="J70" s="113">
        <v>239.47</v>
      </c>
      <c r="K70" s="100">
        <f t="shared" si="36"/>
        <v>299.33749999999998</v>
      </c>
      <c r="L70" s="95"/>
      <c r="M70" s="95">
        <f t="shared" si="37"/>
        <v>59.8675</v>
      </c>
      <c r="N70" s="64"/>
      <c r="O70" s="64"/>
      <c r="P70" s="95">
        <f t="shared" si="38"/>
        <v>0</v>
      </c>
      <c r="Q70" s="64"/>
      <c r="R70" s="95">
        <f t="shared" si="39"/>
        <v>59.8675</v>
      </c>
      <c r="S70" s="64"/>
    </row>
    <row r="71" spans="1:20" x14ac:dyDescent="0.2">
      <c r="A71" s="190">
        <v>15</v>
      </c>
      <c r="B71" s="144">
        <v>11</v>
      </c>
      <c r="C71" s="137" t="s">
        <v>623</v>
      </c>
      <c r="D71" s="141">
        <v>45328</v>
      </c>
      <c r="E71" s="2" t="s">
        <v>608</v>
      </c>
      <c r="F71" s="98" t="s">
        <v>609</v>
      </c>
      <c r="G71" s="99">
        <v>43965974818</v>
      </c>
      <c r="H71" s="74"/>
      <c r="I71" s="74">
        <v>2.52</v>
      </c>
      <c r="J71" s="113"/>
      <c r="K71" s="100">
        <f t="shared" si="36"/>
        <v>2.8475999999999999</v>
      </c>
      <c r="L71" s="95"/>
      <c r="M71" s="95">
        <f t="shared" si="37"/>
        <v>0.3276</v>
      </c>
      <c r="N71" s="64"/>
      <c r="O71" s="64"/>
      <c r="P71" s="95">
        <f t="shared" si="38"/>
        <v>0.3276</v>
      </c>
      <c r="Q71" s="64"/>
      <c r="R71" s="95">
        <f t="shared" si="39"/>
        <v>0</v>
      </c>
      <c r="S71" s="64"/>
    </row>
    <row r="72" spans="1:20" x14ac:dyDescent="0.2">
      <c r="A72" s="190">
        <v>16</v>
      </c>
      <c r="B72" s="144">
        <v>12</v>
      </c>
      <c r="C72" s="137" t="s">
        <v>622</v>
      </c>
      <c r="D72" s="141">
        <v>45328</v>
      </c>
      <c r="E72" s="2" t="s">
        <v>608</v>
      </c>
      <c r="F72" s="98" t="s">
        <v>609</v>
      </c>
      <c r="G72" s="99">
        <v>43965974818</v>
      </c>
      <c r="H72" s="74"/>
      <c r="I72" s="74">
        <v>3.27</v>
      </c>
      <c r="J72" s="113"/>
      <c r="K72" s="100">
        <f t="shared" si="36"/>
        <v>3.6951000000000001</v>
      </c>
      <c r="L72" s="95"/>
      <c r="M72" s="95">
        <f t="shared" si="37"/>
        <v>0.42510000000000003</v>
      </c>
      <c r="N72" s="64"/>
      <c r="O72" s="64"/>
      <c r="P72" s="95">
        <f t="shared" si="38"/>
        <v>0.42510000000000003</v>
      </c>
      <c r="Q72" s="64"/>
      <c r="R72" s="95">
        <f t="shared" si="39"/>
        <v>0</v>
      </c>
      <c r="S72" s="64"/>
    </row>
    <row r="73" spans="1:20" x14ac:dyDescent="0.2">
      <c r="A73" s="190">
        <v>17</v>
      </c>
      <c r="B73" s="144">
        <v>13</v>
      </c>
      <c r="C73" s="137" t="s">
        <v>634</v>
      </c>
      <c r="D73" s="141">
        <v>45328</v>
      </c>
      <c r="E73" s="2" t="s">
        <v>608</v>
      </c>
      <c r="F73" s="98" t="s">
        <v>609</v>
      </c>
      <c r="G73" s="99">
        <v>43965974818</v>
      </c>
      <c r="H73" s="74"/>
      <c r="I73" s="74">
        <v>6.66</v>
      </c>
      <c r="J73" s="113"/>
      <c r="K73" s="100">
        <f t="shared" si="36"/>
        <v>7.5258000000000003</v>
      </c>
      <c r="L73" s="95"/>
      <c r="M73" s="95">
        <f t="shared" si="37"/>
        <v>0.86580000000000001</v>
      </c>
      <c r="N73" s="64"/>
      <c r="O73" s="64"/>
      <c r="P73" s="95">
        <f t="shared" si="38"/>
        <v>0.86580000000000001</v>
      </c>
      <c r="Q73" s="64"/>
      <c r="R73" s="95">
        <f t="shared" si="39"/>
        <v>0</v>
      </c>
      <c r="S73" s="64"/>
    </row>
    <row r="74" spans="1:20" x14ac:dyDescent="0.2">
      <c r="A74" s="190">
        <v>18</v>
      </c>
      <c r="B74" s="144">
        <v>14</v>
      </c>
      <c r="C74" s="137" t="s">
        <v>621</v>
      </c>
      <c r="D74" s="141">
        <v>45328</v>
      </c>
      <c r="E74" s="2" t="s">
        <v>608</v>
      </c>
      <c r="F74" s="98" t="s">
        <v>609</v>
      </c>
      <c r="G74" s="99">
        <v>43965974818</v>
      </c>
      <c r="H74" s="74"/>
      <c r="I74" s="74">
        <v>3.22</v>
      </c>
      <c r="J74" s="113"/>
      <c r="K74" s="100">
        <f t="shared" si="36"/>
        <v>3.6386000000000003</v>
      </c>
      <c r="L74" s="95"/>
      <c r="M74" s="95">
        <f t="shared" si="37"/>
        <v>0.41860000000000003</v>
      </c>
      <c r="N74" s="64"/>
      <c r="O74" s="64"/>
      <c r="P74" s="95">
        <f t="shared" si="38"/>
        <v>0.41860000000000003</v>
      </c>
      <c r="Q74" s="64"/>
      <c r="R74" s="95">
        <f t="shared" si="39"/>
        <v>0</v>
      </c>
      <c r="S74" s="64"/>
    </row>
    <row r="75" spans="1:20" x14ac:dyDescent="0.2">
      <c r="A75" s="190">
        <v>19</v>
      </c>
      <c r="B75" s="144">
        <v>15</v>
      </c>
      <c r="C75" s="137" t="s">
        <v>668</v>
      </c>
      <c r="D75" s="141">
        <v>45341</v>
      </c>
      <c r="E75" s="154" t="s">
        <v>666</v>
      </c>
      <c r="F75" s="155" t="s">
        <v>667</v>
      </c>
      <c r="G75" s="156">
        <v>57500462912</v>
      </c>
      <c r="H75" s="74"/>
      <c r="I75" s="74"/>
      <c r="J75" s="113">
        <v>128</v>
      </c>
      <c r="K75" s="100">
        <f t="shared" ref="K75" si="40">H75+I75+J75+M75</f>
        <v>160</v>
      </c>
      <c r="L75" s="95"/>
      <c r="M75" s="95">
        <f t="shared" ref="M75" si="41">SUM(N75:S75)</f>
        <v>32</v>
      </c>
      <c r="N75" s="64"/>
      <c r="O75" s="64"/>
      <c r="P75" s="95">
        <f t="shared" ref="P75" si="42">+I75*0.13</f>
        <v>0</v>
      </c>
      <c r="Q75" s="64"/>
      <c r="R75" s="95">
        <f t="shared" ref="R75" si="43">J75*0.25</f>
        <v>32</v>
      </c>
      <c r="S75" s="64"/>
    </row>
    <row r="76" spans="1:20" x14ac:dyDescent="0.2">
      <c r="A76" s="190">
        <v>23</v>
      </c>
      <c r="B76" s="144">
        <v>16</v>
      </c>
      <c r="C76" s="137" t="s">
        <v>676</v>
      </c>
      <c r="D76" s="141">
        <v>45351</v>
      </c>
      <c r="E76" s="2" t="s">
        <v>589</v>
      </c>
      <c r="F76" s="2" t="s">
        <v>594</v>
      </c>
      <c r="G76" s="99">
        <v>26618043061</v>
      </c>
      <c r="H76" s="74"/>
      <c r="I76" s="74"/>
      <c r="J76" s="113">
        <v>50</v>
      </c>
      <c r="K76" s="100">
        <f t="shared" ref="K76:K96" si="44">H76+I76+J76+M76</f>
        <v>62.5</v>
      </c>
      <c r="L76" s="95"/>
      <c r="M76" s="95">
        <f t="shared" ref="M76:M96" si="45">SUM(N76:S76)</f>
        <v>12.5</v>
      </c>
      <c r="N76" s="64"/>
      <c r="O76" s="64"/>
      <c r="P76" s="95">
        <f t="shared" ref="P76:P96" si="46">+I76*0.13</f>
        <v>0</v>
      </c>
      <c r="Q76" s="64"/>
      <c r="R76" s="95">
        <f t="shared" ref="R76:R96" si="47">J76*0.25</f>
        <v>12.5</v>
      </c>
      <c r="S76" s="64"/>
    </row>
    <row r="77" spans="1:20" x14ac:dyDescent="0.2">
      <c r="A77" s="190">
        <v>24</v>
      </c>
      <c r="B77" s="144">
        <v>17</v>
      </c>
      <c r="C77" s="137" t="s">
        <v>677</v>
      </c>
      <c r="D77" s="141">
        <v>45351</v>
      </c>
      <c r="E77" s="2" t="s">
        <v>587</v>
      </c>
      <c r="F77" s="98" t="s">
        <v>607</v>
      </c>
      <c r="G77" s="99">
        <v>51260824290</v>
      </c>
      <c r="H77" s="74"/>
      <c r="I77" s="74">
        <v>3.32</v>
      </c>
      <c r="J77" s="113"/>
      <c r="K77" s="100">
        <f t="shared" si="44"/>
        <v>3.7515999999999998</v>
      </c>
      <c r="L77" s="95"/>
      <c r="M77" s="95">
        <f t="shared" si="45"/>
        <v>0.43159999999999998</v>
      </c>
      <c r="N77" s="64"/>
      <c r="O77" s="64"/>
      <c r="P77" s="95">
        <f t="shared" si="46"/>
        <v>0.43159999999999998</v>
      </c>
      <c r="Q77" s="64"/>
      <c r="R77" s="95">
        <f t="shared" si="47"/>
        <v>0</v>
      </c>
      <c r="S77" s="64"/>
    </row>
    <row r="78" spans="1:20" x14ac:dyDescent="0.2">
      <c r="A78" s="190">
        <v>25</v>
      </c>
      <c r="B78" s="144">
        <v>18</v>
      </c>
      <c r="C78" s="137" t="s">
        <v>678</v>
      </c>
      <c r="D78" s="141">
        <v>45351</v>
      </c>
      <c r="E78" s="2" t="s">
        <v>587</v>
      </c>
      <c r="F78" s="98" t="s">
        <v>607</v>
      </c>
      <c r="G78" s="99">
        <v>51260824290</v>
      </c>
      <c r="H78" s="74"/>
      <c r="I78" s="74">
        <v>3.32</v>
      </c>
      <c r="J78" s="113"/>
      <c r="K78" s="100">
        <f t="shared" si="44"/>
        <v>3.7515999999999998</v>
      </c>
      <c r="L78" s="95"/>
      <c r="M78" s="95">
        <f t="shared" si="45"/>
        <v>0.43159999999999998</v>
      </c>
      <c r="N78" s="64"/>
      <c r="O78" s="64"/>
      <c r="P78" s="95">
        <f t="shared" si="46"/>
        <v>0.43159999999999998</v>
      </c>
      <c r="Q78" s="64"/>
      <c r="R78" s="95">
        <f t="shared" si="47"/>
        <v>0</v>
      </c>
      <c r="S78" s="64"/>
    </row>
    <row r="79" spans="1:20" x14ac:dyDescent="0.2">
      <c r="A79" s="190">
        <v>26</v>
      </c>
      <c r="B79" s="144">
        <v>19</v>
      </c>
      <c r="C79" s="137" t="s">
        <v>679</v>
      </c>
      <c r="D79" s="141">
        <v>45351</v>
      </c>
      <c r="E79" s="145" t="s">
        <v>587</v>
      </c>
      <c r="F79" s="146" t="s">
        <v>607</v>
      </c>
      <c r="G79" s="147">
        <v>51260824290</v>
      </c>
      <c r="H79" s="74"/>
      <c r="I79" s="74">
        <v>3.32</v>
      </c>
      <c r="J79" s="113"/>
      <c r="K79" s="100">
        <f t="shared" si="44"/>
        <v>3.7515999999999998</v>
      </c>
      <c r="L79" s="95"/>
      <c r="M79" s="95">
        <f t="shared" si="45"/>
        <v>0.43159999999999998</v>
      </c>
      <c r="N79" s="64"/>
      <c r="O79" s="64"/>
      <c r="P79" s="95">
        <f t="shared" si="46"/>
        <v>0.43159999999999998</v>
      </c>
      <c r="Q79" s="64"/>
      <c r="R79" s="95">
        <f t="shared" si="47"/>
        <v>0</v>
      </c>
      <c r="S79" s="64"/>
    </row>
    <row r="80" spans="1:20" ht="13.5" thickBot="1" x14ac:dyDescent="0.25">
      <c r="A80" s="190">
        <v>27</v>
      </c>
      <c r="B80" s="173">
        <v>20</v>
      </c>
      <c r="C80" s="174" t="s">
        <v>679</v>
      </c>
      <c r="D80" s="175">
        <v>45351</v>
      </c>
      <c r="E80" s="145" t="s">
        <v>588</v>
      </c>
      <c r="F80" s="176" t="s">
        <v>595</v>
      </c>
      <c r="G80" s="147">
        <v>77465071491</v>
      </c>
      <c r="H80" s="74"/>
      <c r="I80" s="74">
        <v>15.93</v>
      </c>
      <c r="J80" s="113"/>
      <c r="K80" s="100">
        <f t="shared" si="44"/>
        <v>18.000900000000001</v>
      </c>
      <c r="L80" s="95"/>
      <c r="M80" s="95">
        <f t="shared" si="45"/>
        <v>2.0709</v>
      </c>
      <c r="N80" s="64"/>
      <c r="O80" s="64"/>
      <c r="P80" s="95">
        <f t="shared" si="46"/>
        <v>2.0709</v>
      </c>
      <c r="Q80" s="64"/>
      <c r="R80" s="95">
        <f t="shared" si="47"/>
        <v>0</v>
      </c>
      <c r="S80" s="64"/>
    </row>
    <row r="81" spans="1:40" x14ac:dyDescent="0.2">
      <c r="A81" s="189">
        <v>30</v>
      </c>
      <c r="B81" s="142">
        <v>21</v>
      </c>
      <c r="C81" s="143" t="s">
        <v>621</v>
      </c>
      <c r="D81" s="150">
        <v>45357</v>
      </c>
      <c r="E81" s="151" t="s">
        <v>608</v>
      </c>
      <c r="F81" s="152" t="s">
        <v>609</v>
      </c>
      <c r="G81" s="153">
        <v>43965974818</v>
      </c>
      <c r="H81" s="74"/>
      <c r="I81" s="74">
        <v>3.17</v>
      </c>
      <c r="J81" s="113"/>
      <c r="K81" s="100">
        <f t="shared" si="44"/>
        <v>3.5821000000000001</v>
      </c>
      <c r="L81" s="95"/>
      <c r="M81" s="95">
        <f t="shared" si="45"/>
        <v>0.41210000000000002</v>
      </c>
      <c r="N81" s="64"/>
      <c r="O81" s="64"/>
      <c r="P81" s="95">
        <f t="shared" si="46"/>
        <v>0.41210000000000002</v>
      </c>
      <c r="Q81" s="64"/>
      <c r="R81" s="95">
        <f t="shared" si="47"/>
        <v>0</v>
      </c>
      <c r="S81" s="64"/>
      <c r="W81" s="1"/>
      <c r="X81" s="43"/>
      <c r="Y81" s="177"/>
      <c r="AA81" s="178"/>
      <c r="AB81" s="179"/>
      <c r="AC81" s="180"/>
      <c r="AD81" s="180"/>
      <c r="AE81" s="181"/>
      <c r="AF81" s="182">
        <f t="shared" ref="AF81:AF82" si="48">AC81+AD81+AE81+AH81</f>
        <v>0</v>
      </c>
      <c r="AG81" s="183"/>
      <c r="AH81" s="183">
        <f t="shared" ref="AH81:AH82" si="49">SUM(AI81:AN81)</f>
        <v>0</v>
      </c>
      <c r="AI81" s="101"/>
      <c r="AJ81" s="101"/>
      <c r="AK81" s="183">
        <f t="shared" ref="AK81:AK82" si="50">+AD81*0.13</f>
        <v>0</v>
      </c>
      <c r="AL81" s="101"/>
      <c r="AM81" s="183">
        <f t="shared" ref="AM81:AM82" si="51">AE81*0.25</f>
        <v>0</v>
      </c>
      <c r="AN81" s="101"/>
    </row>
    <row r="82" spans="1:40" x14ac:dyDescent="0.2">
      <c r="A82" s="190">
        <v>31</v>
      </c>
      <c r="B82" s="144">
        <v>22</v>
      </c>
      <c r="C82" s="137" t="s">
        <v>623</v>
      </c>
      <c r="D82" s="141">
        <v>45357</v>
      </c>
      <c r="E82" s="2" t="s">
        <v>608</v>
      </c>
      <c r="F82" s="98" t="s">
        <v>609</v>
      </c>
      <c r="G82" s="99">
        <v>43965974818</v>
      </c>
      <c r="H82" s="74"/>
      <c r="I82" s="74">
        <v>2.52</v>
      </c>
      <c r="J82" s="113"/>
      <c r="K82" s="100">
        <f t="shared" si="44"/>
        <v>2.8475999999999999</v>
      </c>
      <c r="L82" s="95"/>
      <c r="M82" s="95">
        <f t="shared" si="45"/>
        <v>0.3276</v>
      </c>
      <c r="N82" s="64"/>
      <c r="O82" s="64"/>
      <c r="P82" s="95">
        <f t="shared" si="46"/>
        <v>0.3276</v>
      </c>
      <c r="Q82" s="64"/>
      <c r="R82" s="95">
        <f t="shared" si="47"/>
        <v>0</v>
      </c>
      <c r="S82" s="64"/>
      <c r="W82" s="1"/>
      <c r="AA82" s="178"/>
      <c r="AB82" s="111"/>
      <c r="AC82" s="180"/>
      <c r="AD82" s="180"/>
      <c r="AE82" s="181"/>
      <c r="AF82" s="182">
        <f t="shared" si="48"/>
        <v>0</v>
      </c>
      <c r="AG82" s="183"/>
      <c r="AH82" s="183">
        <f t="shared" si="49"/>
        <v>0</v>
      </c>
      <c r="AI82" s="101"/>
      <c r="AJ82" s="101"/>
      <c r="AK82" s="183">
        <f t="shared" si="50"/>
        <v>0</v>
      </c>
      <c r="AL82" s="101"/>
      <c r="AM82" s="183">
        <f t="shared" si="51"/>
        <v>0</v>
      </c>
      <c r="AN82" s="101"/>
    </row>
    <row r="83" spans="1:40" x14ac:dyDescent="0.2">
      <c r="A83" s="190">
        <v>32</v>
      </c>
      <c r="B83" s="144">
        <v>23</v>
      </c>
      <c r="C83" s="137" t="s">
        <v>634</v>
      </c>
      <c r="D83" s="141">
        <v>45357</v>
      </c>
      <c r="E83" s="2" t="s">
        <v>608</v>
      </c>
      <c r="F83" s="98" t="s">
        <v>609</v>
      </c>
      <c r="G83" s="99">
        <v>43965974818</v>
      </c>
      <c r="H83" s="74"/>
      <c r="I83" s="74">
        <v>4.79</v>
      </c>
      <c r="J83" s="113"/>
      <c r="K83" s="100">
        <f t="shared" si="44"/>
        <v>5.4127000000000001</v>
      </c>
      <c r="L83" s="95"/>
      <c r="M83" s="95">
        <f t="shared" si="45"/>
        <v>0.62270000000000003</v>
      </c>
      <c r="N83" s="64"/>
      <c r="O83" s="64"/>
      <c r="P83" s="95">
        <f t="shared" si="46"/>
        <v>0.62270000000000003</v>
      </c>
      <c r="Q83" s="64"/>
      <c r="R83" s="95">
        <f t="shared" si="47"/>
        <v>0</v>
      </c>
      <c r="S83" s="64"/>
    </row>
    <row r="84" spans="1:40" x14ac:dyDescent="0.2">
      <c r="A84" s="190">
        <v>33</v>
      </c>
      <c r="B84" s="144">
        <v>24</v>
      </c>
      <c r="C84" s="137" t="s">
        <v>622</v>
      </c>
      <c r="D84" s="141">
        <v>45357</v>
      </c>
      <c r="E84" s="2" t="s">
        <v>608</v>
      </c>
      <c r="F84" s="98" t="s">
        <v>609</v>
      </c>
      <c r="G84" s="99">
        <v>43965974818</v>
      </c>
      <c r="H84" s="74"/>
      <c r="I84" s="74">
        <v>2.9</v>
      </c>
      <c r="J84" s="113"/>
      <c r="K84" s="100">
        <f t="shared" si="44"/>
        <v>3.2770000000000001</v>
      </c>
      <c r="L84" s="95"/>
      <c r="M84" s="95">
        <f t="shared" si="45"/>
        <v>0.377</v>
      </c>
      <c r="N84" s="64"/>
      <c r="O84" s="64"/>
      <c r="P84" s="95">
        <f t="shared" si="46"/>
        <v>0.377</v>
      </c>
      <c r="Q84" s="64"/>
      <c r="R84" s="95">
        <f t="shared" si="47"/>
        <v>0</v>
      </c>
      <c r="S84" s="64"/>
    </row>
    <row r="85" spans="1:40" x14ac:dyDescent="0.2">
      <c r="A85" s="190">
        <v>36</v>
      </c>
      <c r="B85" s="144">
        <v>25</v>
      </c>
      <c r="C85" s="137" t="s">
        <v>703</v>
      </c>
      <c r="D85" s="141">
        <v>45387</v>
      </c>
      <c r="E85" s="2" t="s">
        <v>587</v>
      </c>
      <c r="F85" s="98" t="s">
        <v>607</v>
      </c>
      <c r="G85" s="99">
        <v>51260824290</v>
      </c>
      <c r="H85" s="74"/>
      <c r="I85" s="74">
        <v>3.32</v>
      </c>
      <c r="J85" s="113"/>
      <c r="K85" s="100">
        <f t="shared" si="44"/>
        <v>3.7515999999999998</v>
      </c>
      <c r="L85" s="95"/>
      <c r="M85" s="95">
        <f t="shared" si="45"/>
        <v>0.43159999999999998</v>
      </c>
      <c r="N85" s="64"/>
      <c r="O85" s="64"/>
      <c r="P85" s="95">
        <f t="shared" si="46"/>
        <v>0.43159999999999998</v>
      </c>
      <c r="Q85" s="64"/>
      <c r="R85" s="95">
        <f t="shared" si="47"/>
        <v>0</v>
      </c>
      <c r="S85" s="64"/>
    </row>
    <row r="86" spans="1:40" x14ac:dyDescent="0.2">
      <c r="A86" s="190">
        <v>37</v>
      </c>
      <c r="B86" s="144">
        <v>26</v>
      </c>
      <c r="C86" s="137" t="s">
        <v>704</v>
      </c>
      <c r="D86" s="141">
        <v>45387</v>
      </c>
      <c r="E86" s="2" t="s">
        <v>587</v>
      </c>
      <c r="F86" s="98" t="s">
        <v>607</v>
      </c>
      <c r="G86" s="99">
        <v>51260824290</v>
      </c>
      <c r="H86" s="74"/>
      <c r="I86" s="74">
        <v>3.32</v>
      </c>
      <c r="J86" s="113"/>
      <c r="K86" s="100">
        <f t="shared" si="44"/>
        <v>3.7515999999999998</v>
      </c>
      <c r="L86" s="95"/>
      <c r="M86" s="95">
        <f t="shared" si="45"/>
        <v>0.43159999999999998</v>
      </c>
      <c r="N86" s="64"/>
      <c r="O86" s="64"/>
      <c r="P86" s="95">
        <f t="shared" si="46"/>
        <v>0.43159999999999998</v>
      </c>
      <c r="Q86" s="64"/>
      <c r="R86" s="95">
        <f t="shared" si="47"/>
        <v>0</v>
      </c>
      <c r="S86" s="64"/>
    </row>
    <row r="87" spans="1:40" x14ac:dyDescent="0.2">
      <c r="A87" s="190">
        <v>38</v>
      </c>
      <c r="B87" s="144">
        <v>27</v>
      </c>
      <c r="C87" s="137" t="s">
        <v>705</v>
      </c>
      <c r="D87" s="141">
        <v>45387</v>
      </c>
      <c r="E87" s="145" t="s">
        <v>587</v>
      </c>
      <c r="F87" s="146" t="s">
        <v>607</v>
      </c>
      <c r="G87" s="147">
        <v>51260824290</v>
      </c>
      <c r="H87" s="74"/>
      <c r="I87" s="74">
        <v>3.32</v>
      </c>
      <c r="J87" s="113"/>
      <c r="K87" s="100">
        <f t="shared" si="44"/>
        <v>3.7515999999999998</v>
      </c>
      <c r="L87" s="95"/>
      <c r="M87" s="95">
        <f t="shared" si="45"/>
        <v>0.43159999999999998</v>
      </c>
      <c r="N87" s="64"/>
      <c r="O87" s="64"/>
      <c r="P87" s="95">
        <f t="shared" si="46"/>
        <v>0.43159999999999998</v>
      </c>
      <c r="Q87" s="64"/>
      <c r="R87" s="95">
        <f t="shared" si="47"/>
        <v>0</v>
      </c>
      <c r="S87" s="64"/>
    </row>
    <row r="88" spans="1:40" x14ac:dyDescent="0.2">
      <c r="A88" s="190">
        <v>39</v>
      </c>
      <c r="B88" s="144">
        <v>28</v>
      </c>
      <c r="C88" s="137" t="s">
        <v>703</v>
      </c>
      <c r="D88" s="141">
        <v>45387</v>
      </c>
      <c r="E88" s="145" t="s">
        <v>588</v>
      </c>
      <c r="F88" s="176" t="s">
        <v>595</v>
      </c>
      <c r="G88" s="147">
        <v>77465071491</v>
      </c>
      <c r="H88" s="74"/>
      <c r="I88" s="74">
        <v>15.93</v>
      </c>
      <c r="J88" s="113"/>
      <c r="K88" s="100">
        <f t="shared" si="44"/>
        <v>18.000900000000001</v>
      </c>
      <c r="L88" s="95"/>
      <c r="M88" s="95">
        <f t="shared" si="45"/>
        <v>2.0709</v>
      </c>
      <c r="N88" s="64"/>
      <c r="O88" s="64"/>
      <c r="P88" s="95">
        <f t="shared" si="46"/>
        <v>2.0709</v>
      </c>
      <c r="Q88" s="64"/>
      <c r="R88" s="95">
        <f t="shared" si="47"/>
        <v>0</v>
      </c>
      <c r="S88" s="64"/>
    </row>
    <row r="89" spans="1:40" x14ac:dyDescent="0.2">
      <c r="A89" s="190">
        <v>40</v>
      </c>
      <c r="B89" s="144">
        <v>29</v>
      </c>
      <c r="C89" s="137" t="s">
        <v>691</v>
      </c>
      <c r="D89" s="141">
        <v>45382</v>
      </c>
      <c r="E89" s="2" t="s">
        <v>589</v>
      </c>
      <c r="F89" s="2" t="s">
        <v>594</v>
      </c>
      <c r="G89" s="99">
        <v>26618043061</v>
      </c>
      <c r="H89" s="74"/>
      <c r="I89" s="74"/>
      <c r="J89" s="113">
        <v>77.5</v>
      </c>
      <c r="K89" s="100">
        <f t="shared" si="44"/>
        <v>96.875</v>
      </c>
      <c r="L89" s="95"/>
      <c r="M89" s="95">
        <f t="shared" si="45"/>
        <v>19.375</v>
      </c>
      <c r="N89" s="64"/>
      <c r="O89" s="64"/>
      <c r="P89" s="95">
        <f t="shared" si="46"/>
        <v>0</v>
      </c>
      <c r="Q89" s="64"/>
      <c r="R89" s="95">
        <f t="shared" si="47"/>
        <v>19.375</v>
      </c>
      <c r="S89" s="64"/>
    </row>
    <row r="90" spans="1:40" x14ac:dyDescent="0.2">
      <c r="A90" s="190">
        <v>43</v>
      </c>
      <c r="B90" s="144">
        <v>30</v>
      </c>
      <c r="C90" s="137" t="s">
        <v>634</v>
      </c>
      <c r="D90" s="141">
        <v>45387</v>
      </c>
      <c r="E90" s="2" t="s">
        <v>608</v>
      </c>
      <c r="F90" s="98" t="s">
        <v>609</v>
      </c>
      <c r="G90" s="99">
        <v>43965974818</v>
      </c>
      <c r="H90" s="74"/>
      <c r="I90" s="74">
        <v>6.04</v>
      </c>
      <c r="J90" s="113"/>
      <c r="K90" s="100">
        <f t="shared" si="44"/>
        <v>6.8251999999999997</v>
      </c>
      <c r="L90" s="95"/>
      <c r="M90" s="95">
        <f t="shared" si="45"/>
        <v>0.78520000000000001</v>
      </c>
      <c r="N90" s="64"/>
      <c r="O90" s="64"/>
      <c r="P90" s="95">
        <f t="shared" si="46"/>
        <v>0.78520000000000001</v>
      </c>
      <c r="Q90" s="64"/>
      <c r="R90" s="95">
        <f t="shared" si="47"/>
        <v>0</v>
      </c>
      <c r="S90" s="64"/>
    </row>
    <row r="91" spans="1:40" x14ac:dyDescent="0.2">
      <c r="A91" s="190">
        <v>44</v>
      </c>
      <c r="B91" s="144">
        <v>31</v>
      </c>
      <c r="C91" s="137" t="s">
        <v>622</v>
      </c>
      <c r="D91" s="141">
        <v>45387</v>
      </c>
      <c r="E91" s="2" t="s">
        <v>608</v>
      </c>
      <c r="F91" s="98" t="s">
        <v>609</v>
      </c>
      <c r="G91" s="99">
        <v>43965974818</v>
      </c>
      <c r="H91" s="74"/>
      <c r="I91" s="74">
        <v>3.02</v>
      </c>
      <c r="J91" s="113"/>
      <c r="K91" s="100">
        <f t="shared" si="44"/>
        <v>3.4125999999999999</v>
      </c>
      <c r="L91" s="95"/>
      <c r="M91" s="95">
        <f t="shared" si="45"/>
        <v>0.3926</v>
      </c>
      <c r="N91" s="64"/>
      <c r="O91" s="64"/>
      <c r="P91" s="95">
        <f t="shared" si="46"/>
        <v>0.3926</v>
      </c>
      <c r="Q91" s="64"/>
      <c r="R91" s="95">
        <f t="shared" si="47"/>
        <v>0</v>
      </c>
      <c r="S91" s="64"/>
    </row>
    <row r="92" spans="1:40" x14ac:dyDescent="0.2">
      <c r="A92" s="190">
        <v>45</v>
      </c>
      <c r="B92" s="144">
        <v>32</v>
      </c>
      <c r="C92" s="137" t="s">
        <v>621</v>
      </c>
      <c r="D92" s="141">
        <v>45387</v>
      </c>
      <c r="E92" s="2" t="s">
        <v>608</v>
      </c>
      <c r="F92" s="98" t="s">
        <v>609</v>
      </c>
      <c r="G92" s="99">
        <v>43965974818</v>
      </c>
      <c r="H92" s="74"/>
      <c r="I92" s="74">
        <v>5.2</v>
      </c>
      <c r="J92" s="113"/>
      <c r="K92" s="100">
        <f t="shared" si="44"/>
        <v>5.8760000000000003</v>
      </c>
      <c r="L92" s="95"/>
      <c r="M92" s="95">
        <f t="shared" si="45"/>
        <v>0.67600000000000005</v>
      </c>
      <c r="N92" s="64"/>
      <c r="O92" s="64"/>
      <c r="P92" s="95">
        <f t="shared" si="46"/>
        <v>0.67600000000000005</v>
      </c>
      <c r="Q92" s="64"/>
      <c r="R92" s="95">
        <f t="shared" si="47"/>
        <v>0</v>
      </c>
      <c r="S92" s="64"/>
    </row>
    <row r="93" spans="1:40" x14ac:dyDescent="0.2">
      <c r="A93" s="190">
        <v>46</v>
      </c>
      <c r="B93" s="144">
        <v>33</v>
      </c>
      <c r="C93" s="137" t="s">
        <v>623</v>
      </c>
      <c r="D93" s="141">
        <v>45387</v>
      </c>
      <c r="E93" s="2" t="s">
        <v>608</v>
      </c>
      <c r="F93" s="98" t="s">
        <v>609</v>
      </c>
      <c r="G93" s="99">
        <v>43965974818</v>
      </c>
      <c r="H93" s="74"/>
      <c r="I93" s="74">
        <v>3.92</v>
      </c>
      <c r="J93" s="113"/>
      <c r="K93" s="100">
        <f t="shared" si="44"/>
        <v>4.4295999999999998</v>
      </c>
      <c r="L93" s="95"/>
      <c r="M93" s="95">
        <f t="shared" si="45"/>
        <v>0.50960000000000005</v>
      </c>
      <c r="N93" s="64"/>
      <c r="O93" s="64"/>
      <c r="P93" s="95">
        <f t="shared" si="46"/>
        <v>0.50960000000000005</v>
      </c>
      <c r="Q93" s="64"/>
      <c r="R93" s="95">
        <f t="shared" si="47"/>
        <v>0</v>
      </c>
      <c r="S93" s="64"/>
    </row>
    <row r="94" spans="1:40" x14ac:dyDescent="0.2">
      <c r="A94" s="190">
        <v>50</v>
      </c>
      <c r="B94" s="144">
        <v>34</v>
      </c>
      <c r="C94" s="137" t="s">
        <v>698</v>
      </c>
      <c r="D94" s="141">
        <v>45412</v>
      </c>
      <c r="E94" s="2" t="s">
        <v>632</v>
      </c>
      <c r="F94" s="146" t="s">
        <v>633</v>
      </c>
      <c r="G94" s="147">
        <v>81793146560</v>
      </c>
      <c r="H94" s="74"/>
      <c r="I94" s="74"/>
      <c r="J94" s="113">
        <v>7.96</v>
      </c>
      <c r="K94" s="100">
        <f t="shared" si="44"/>
        <v>9.9499999999999993</v>
      </c>
      <c r="L94" s="95"/>
      <c r="M94" s="95">
        <f t="shared" si="45"/>
        <v>1.99</v>
      </c>
      <c r="N94" s="64"/>
      <c r="O94" s="64"/>
      <c r="P94" s="95">
        <f t="shared" si="46"/>
        <v>0</v>
      </c>
      <c r="Q94" s="64"/>
      <c r="R94" s="95">
        <f t="shared" si="47"/>
        <v>1.99</v>
      </c>
      <c r="S94" s="64"/>
    </row>
    <row r="95" spans="1:40" x14ac:dyDescent="0.2">
      <c r="A95" s="190">
        <v>51</v>
      </c>
      <c r="B95" s="144">
        <v>35</v>
      </c>
      <c r="C95" s="137" t="s">
        <v>621</v>
      </c>
      <c r="D95" s="141">
        <v>45412</v>
      </c>
      <c r="E95" s="2" t="s">
        <v>608</v>
      </c>
      <c r="F95" s="98" t="s">
        <v>609</v>
      </c>
      <c r="G95" s="99">
        <v>43965974818</v>
      </c>
      <c r="H95" s="74"/>
      <c r="I95" s="74">
        <v>2.52</v>
      </c>
      <c r="J95" s="113"/>
      <c r="K95" s="100">
        <f>H95+I95+J95+M95</f>
        <v>2.8475999999999999</v>
      </c>
      <c r="L95" s="95"/>
      <c r="M95" s="95">
        <f>SUM(N95:S95)</f>
        <v>0.3276</v>
      </c>
      <c r="N95" s="64"/>
      <c r="O95" s="64"/>
      <c r="P95" s="95">
        <f>+I95*0.13</f>
        <v>0.3276</v>
      </c>
      <c r="Q95" s="64"/>
      <c r="R95" s="95">
        <f>J95*0.25</f>
        <v>0</v>
      </c>
      <c r="S95" s="64"/>
    </row>
    <row r="96" spans="1:40" x14ac:dyDescent="0.2">
      <c r="A96" s="190">
        <v>52</v>
      </c>
      <c r="B96" s="144">
        <v>36</v>
      </c>
      <c r="C96" s="137" t="s">
        <v>623</v>
      </c>
      <c r="D96" s="141">
        <v>45412</v>
      </c>
      <c r="E96" s="2" t="s">
        <v>608</v>
      </c>
      <c r="F96" s="98" t="s">
        <v>609</v>
      </c>
      <c r="G96" s="99">
        <v>43965974818</v>
      </c>
      <c r="H96" s="74"/>
      <c r="I96" s="74">
        <v>2.52</v>
      </c>
      <c r="J96" s="113"/>
      <c r="K96" s="100">
        <f t="shared" si="44"/>
        <v>2.8475999999999999</v>
      </c>
      <c r="L96" s="95"/>
      <c r="M96" s="95">
        <f t="shared" si="45"/>
        <v>0.3276</v>
      </c>
      <c r="N96" s="64"/>
      <c r="O96" s="64"/>
      <c r="P96" s="95">
        <f t="shared" si="46"/>
        <v>0.3276</v>
      </c>
      <c r="Q96" s="64"/>
      <c r="R96" s="95">
        <f t="shared" si="47"/>
        <v>0</v>
      </c>
      <c r="S96" s="64"/>
    </row>
    <row r="97" spans="1:19" x14ac:dyDescent="0.2">
      <c r="A97" s="190">
        <v>53</v>
      </c>
      <c r="B97" s="144">
        <v>37</v>
      </c>
      <c r="C97" s="137" t="s">
        <v>622</v>
      </c>
      <c r="D97" s="141">
        <v>45412</v>
      </c>
      <c r="E97" s="2" t="s">
        <v>608</v>
      </c>
      <c r="F97" s="98" t="s">
        <v>609</v>
      </c>
      <c r="G97" s="99">
        <v>43965974818</v>
      </c>
      <c r="H97" s="74"/>
      <c r="I97" s="74">
        <v>2.52</v>
      </c>
      <c r="J97" s="113"/>
      <c r="K97" s="100">
        <f t="shared" ref="K97:K101" si="52">H97+I97+J97+M97</f>
        <v>2.8475999999999999</v>
      </c>
      <c r="L97" s="95"/>
      <c r="M97" s="95">
        <f t="shared" ref="M97:M101" si="53">SUM(N97:S97)</f>
        <v>0.3276</v>
      </c>
      <c r="N97" s="64"/>
      <c r="O97" s="64"/>
      <c r="P97" s="95">
        <f t="shared" ref="P97:P101" si="54">+I97*0.13</f>
        <v>0.3276</v>
      </c>
      <c r="Q97" s="64"/>
      <c r="R97" s="95">
        <f t="shared" ref="R97:R101" si="55">J97*0.25</f>
        <v>0</v>
      </c>
      <c r="S97" s="64"/>
    </row>
    <row r="98" spans="1:19" x14ac:dyDescent="0.2">
      <c r="A98" s="190">
        <v>54</v>
      </c>
      <c r="B98" s="144">
        <v>38</v>
      </c>
      <c r="C98" s="137" t="s">
        <v>634</v>
      </c>
      <c r="D98" s="141">
        <v>45412</v>
      </c>
      <c r="E98" s="2" t="s">
        <v>608</v>
      </c>
      <c r="F98" s="98" t="s">
        <v>609</v>
      </c>
      <c r="G98" s="99">
        <v>43965974818</v>
      </c>
      <c r="H98" s="74"/>
      <c r="I98" s="74">
        <v>2.52</v>
      </c>
      <c r="J98" s="113"/>
      <c r="K98" s="100">
        <f t="shared" si="52"/>
        <v>2.8475999999999999</v>
      </c>
      <c r="L98" s="95"/>
      <c r="M98" s="95">
        <f t="shared" si="53"/>
        <v>0.3276</v>
      </c>
      <c r="N98" s="64"/>
      <c r="O98" s="64"/>
      <c r="P98" s="95">
        <f t="shared" si="54"/>
        <v>0.3276</v>
      </c>
      <c r="Q98" s="64"/>
      <c r="R98" s="95">
        <f t="shared" si="55"/>
        <v>0</v>
      </c>
      <c r="S98" s="64"/>
    </row>
    <row r="99" spans="1:19" x14ac:dyDescent="0.2">
      <c r="A99" s="190">
        <v>55</v>
      </c>
      <c r="B99" s="144">
        <v>39</v>
      </c>
      <c r="C99" s="137" t="s">
        <v>699</v>
      </c>
      <c r="D99" s="141">
        <v>45412</v>
      </c>
      <c r="E99" s="2" t="s">
        <v>587</v>
      </c>
      <c r="F99" s="98" t="s">
        <v>607</v>
      </c>
      <c r="G99" s="99">
        <v>51260824290</v>
      </c>
      <c r="H99" s="74"/>
      <c r="I99" s="74">
        <v>3.32</v>
      </c>
      <c r="J99" s="113"/>
      <c r="K99" s="100">
        <f t="shared" si="52"/>
        <v>3.7515999999999998</v>
      </c>
      <c r="L99" s="95"/>
      <c r="M99" s="95">
        <f t="shared" si="53"/>
        <v>0.43159999999999998</v>
      </c>
      <c r="N99" s="64"/>
      <c r="O99" s="64"/>
      <c r="P99" s="95">
        <f t="shared" si="54"/>
        <v>0.43159999999999998</v>
      </c>
      <c r="Q99" s="64"/>
      <c r="R99" s="95">
        <f t="shared" si="55"/>
        <v>0</v>
      </c>
      <c r="S99" s="64"/>
    </row>
    <row r="100" spans="1:19" x14ac:dyDescent="0.2">
      <c r="A100" s="190">
        <v>56</v>
      </c>
      <c r="B100" s="144">
        <v>40</v>
      </c>
      <c r="C100" s="137" t="s">
        <v>700</v>
      </c>
      <c r="D100" s="141">
        <v>45412</v>
      </c>
      <c r="E100" s="2" t="s">
        <v>587</v>
      </c>
      <c r="F100" s="98" t="s">
        <v>607</v>
      </c>
      <c r="G100" s="99">
        <v>51260824290</v>
      </c>
      <c r="H100" s="74"/>
      <c r="I100" s="74">
        <v>3.32</v>
      </c>
      <c r="J100" s="113"/>
      <c r="K100" s="100">
        <f t="shared" si="52"/>
        <v>3.7515999999999998</v>
      </c>
      <c r="L100" s="95"/>
      <c r="M100" s="95">
        <f t="shared" si="53"/>
        <v>0.43159999999999998</v>
      </c>
      <c r="N100" s="64"/>
      <c r="O100" s="64"/>
      <c r="P100" s="95">
        <f t="shared" si="54"/>
        <v>0.43159999999999998</v>
      </c>
      <c r="Q100" s="64"/>
      <c r="R100" s="95">
        <f t="shared" si="55"/>
        <v>0</v>
      </c>
      <c r="S100" s="64"/>
    </row>
    <row r="101" spans="1:19" x14ac:dyDescent="0.2">
      <c r="A101" s="190">
        <v>57</v>
      </c>
      <c r="B101" s="144">
        <v>41</v>
      </c>
      <c r="C101" s="137" t="s">
        <v>701</v>
      </c>
      <c r="D101" s="141">
        <v>45412</v>
      </c>
      <c r="E101" s="145" t="s">
        <v>587</v>
      </c>
      <c r="F101" s="146" t="s">
        <v>607</v>
      </c>
      <c r="G101" s="147">
        <v>51260824290</v>
      </c>
      <c r="H101" s="74"/>
      <c r="I101" s="74">
        <v>3.32</v>
      </c>
      <c r="J101" s="113"/>
      <c r="K101" s="100">
        <f t="shared" si="52"/>
        <v>3.7515999999999998</v>
      </c>
      <c r="L101" s="95"/>
      <c r="M101" s="95">
        <f t="shared" si="53"/>
        <v>0.43159999999999998</v>
      </c>
      <c r="N101" s="64"/>
      <c r="O101" s="64"/>
      <c r="P101" s="95">
        <f t="shared" si="54"/>
        <v>0.43159999999999998</v>
      </c>
      <c r="Q101" s="64"/>
      <c r="R101" s="95">
        <f t="shared" si="55"/>
        <v>0</v>
      </c>
      <c r="S101" s="64"/>
    </row>
    <row r="102" spans="1:19" ht="13.5" thickBot="1" x14ac:dyDescent="0.25">
      <c r="A102" s="190">
        <v>58</v>
      </c>
      <c r="B102" s="173">
        <v>42</v>
      </c>
      <c r="C102" s="174" t="s">
        <v>699</v>
      </c>
      <c r="D102" s="175">
        <v>45412</v>
      </c>
      <c r="E102" s="145" t="s">
        <v>588</v>
      </c>
      <c r="F102" s="176" t="s">
        <v>595</v>
      </c>
      <c r="G102" s="147">
        <v>77465071491</v>
      </c>
      <c r="H102" s="74"/>
      <c r="I102" s="74">
        <v>15.93</v>
      </c>
      <c r="J102" s="113"/>
      <c r="K102" s="100">
        <f t="shared" ref="K102:K108" si="56">H102+I102+J102+M102</f>
        <v>18.000900000000001</v>
      </c>
      <c r="L102" s="95"/>
      <c r="M102" s="95">
        <f t="shared" ref="M102:M108" si="57">SUM(N102:S102)</f>
        <v>2.0709</v>
      </c>
      <c r="N102" s="64"/>
      <c r="O102" s="64"/>
      <c r="P102" s="95">
        <f t="shared" ref="P102:P108" si="58">+I102*0.13</f>
        <v>2.0709</v>
      </c>
      <c r="Q102" s="64"/>
      <c r="R102" s="95">
        <f t="shared" ref="R102:R108" si="59">J102*0.25</f>
        <v>0</v>
      </c>
      <c r="S102" s="64"/>
    </row>
    <row r="103" spans="1:19" x14ac:dyDescent="0.2">
      <c r="A103" s="194">
        <v>59</v>
      </c>
      <c r="B103" s="142">
        <v>43</v>
      </c>
      <c r="C103" s="143" t="s">
        <v>702</v>
      </c>
      <c r="D103" s="150">
        <v>45414</v>
      </c>
      <c r="E103" s="151" t="s">
        <v>589</v>
      </c>
      <c r="F103" s="151" t="s">
        <v>594</v>
      </c>
      <c r="G103" s="153">
        <v>26618043061</v>
      </c>
      <c r="H103" s="74"/>
      <c r="I103" s="74"/>
      <c r="J103" s="113">
        <v>50</v>
      </c>
      <c r="K103" s="100">
        <f t="shared" si="56"/>
        <v>62.5</v>
      </c>
      <c r="L103" s="95"/>
      <c r="M103" s="95">
        <f t="shared" si="57"/>
        <v>12.5</v>
      </c>
      <c r="N103" s="64"/>
      <c r="O103" s="64"/>
      <c r="P103" s="95">
        <f t="shared" si="58"/>
        <v>0</v>
      </c>
      <c r="Q103" s="64"/>
      <c r="R103" s="95">
        <f t="shared" si="59"/>
        <v>12.5</v>
      </c>
      <c r="S103" s="64"/>
    </row>
    <row r="104" spans="1:19" x14ac:dyDescent="0.2">
      <c r="A104" s="191">
        <v>65</v>
      </c>
      <c r="B104" s="144">
        <v>44</v>
      </c>
      <c r="C104" s="137" t="s">
        <v>717</v>
      </c>
      <c r="D104" s="141">
        <v>45443</v>
      </c>
      <c r="E104" s="2" t="s">
        <v>632</v>
      </c>
      <c r="F104" s="146" t="s">
        <v>633</v>
      </c>
      <c r="G104" s="147">
        <v>81793146560</v>
      </c>
      <c r="H104" s="74"/>
      <c r="I104" s="74"/>
      <c r="J104" s="113">
        <v>26.64</v>
      </c>
      <c r="K104" s="100">
        <f t="shared" si="56"/>
        <v>33.299999999999997</v>
      </c>
      <c r="L104" s="95"/>
      <c r="M104" s="95">
        <f t="shared" si="57"/>
        <v>6.66</v>
      </c>
      <c r="N104" s="64"/>
      <c r="O104" s="64"/>
      <c r="P104" s="95">
        <f t="shared" si="58"/>
        <v>0</v>
      </c>
      <c r="Q104" s="64"/>
      <c r="R104" s="95">
        <f t="shared" si="59"/>
        <v>6.66</v>
      </c>
      <c r="S104" s="64"/>
    </row>
    <row r="105" spans="1:19" x14ac:dyDescent="0.2">
      <c r="A105" s="191">
        <v>66</v>
      </c>
      <c r="B105" s="144">
        <v>45</v>
      </c>
      <c r="C105" s="137" t="s">
        <v>622</v>
      </c>
      <c r="D105" s="141">
        <v>45443</v>
      </c>
      <c r="E105" s="2" t="s">
        <v>608</v>
      </c>
      <c r="F105" s="98" t="s">
        <v>609</v>
      </c>
      <c r="G105" s="99">
        <v>43965974818</v>
      </c>
      <c r="H105" s="74"/>
      <c r="I105" s="74">
        <v>4.3899999999999997</v>
      </c>
      <c r="J105" s="113"/>
      <c r="K105" s="100">
        <f t="shared" si="56"/>
        <v>4.9606999999999992</v>
      </c>
      <c r="L105" s="95"/>
      <c r="M105" s="95">
        <f t="shared" si="57"/>
        <v>0.57069999999999999</v>
      </c>
      <c r="N105" s="64"/>
      <c r="O105" s="64"/>
      <c r="P105" s="95">
        <f t="shared" si="58"/>
        <v>0.57069999999999999</v>
      </c>
      <c r="Q105" s="64"/>
      <c r="R105" s="95">
        <f t="shared" si="59"/>
        <v>0</v>
      </c>
      <c r="S105" s="64"/>
    </row>
    <row r="106" spans="1:19" x14ac:dyDescent="0.2">
      <c r="A106" s="191">
        <v>67</v>
      </c>
      <c r="B106" s="144">
        <v>46</v>
      </c>
      <c r="C106" s="137" t="s">
        <v>634</v>
      </c>
      <c r="D106" s="141">
        <v>45443</v>
      </c>
      <c r="E106" s="2" t="s">
        <v>608</v>
      </c>
      <c r="F106" s="98" t="s">
        <v>609</v>
      </c>
      <c r="G106" s="99">
        <v>43965974818</v>
      </c>
      <c r="H106" s="74"/>
      <c r="I106" s="74">
        <v>9.2799999999999994</v>
      </c>
      <c r="J106" s="113"/>
      <c r="K106" s="100">
        <f t="shared" si="56"/>
        <v>10.4864</v>
      </c>
      <c r="L106" s="95"/>
      <c r="M106" s="95">
        <f t="shared" si="57"/>
        <v>1.2063999999999999</v>
      </c>
      <c r="N106" s="64"/>
      <c r="O106" s="64"/>
      <c r="P106" s="95">
        <f t="shared" si="58"/>
        <v>1.2063999999999999</v>
      </c>
      <c r="Q106" s="64"/>
      <c r="R106" s="95">
        <f t="shared" si="59"/>
        <v>0</v>
      </c>
      <c r="S106" s="64"/>
    </row>
    <row r="107" spans="1:19" x14ac:dyDescent="0.2">
      <c r="A107" s="191">
        <v>68</v>
      </c>
      <c r="B107" s="144">
        <v>47</v>
      </c>
      <c r="C107" s="137" t="s">
        <v>621</v>
      </c>
      <c r="D107" s="141">
        <v>45443</v>
      </c>
      <c r="E107" s="2" t="s">
        <v>608</v>
      </c>
      <c r="F107" s="98" t="s">
        <v>609</v>
      </c>
      <c r="G107" s="99">
        <v>43965974818</v>
      </c>
      <c r="H107" s="74"/>
      <c r="I107" s="74">
        <v>4.9000000000000004</v>
      </c>
      <c r="J107" s="113"/>
      <c r="K107" s="100">
        <f t="shared" si="56"/>
        <v>5.5370000000000008</v>
      </c>
      <c r="L107" s="95"/>
      <c r="M107" s="95">
        <f t="shared" si="57"/>
        <v>0.63700000000000012</v>
      </c>
      <c r="N107" s="64"/>
      <c r="O107" s="64"/>
      <c r="P107" s="95">
        <f t="shared" si="58"/>
        <v>0.63700000000000012</v>
      </c>
      <c r="Q107" s="64"/>
      <c r="R107" s="95">
        <f t="shared" si="59"/>
        <v>0</v>
      </c>
      <c r="S107" s="64"/>
    </row>
    <row r="108" spans="1:19" x14ac:dyDescent="0.2">
      <c r="A108" s="191">
        <v>69</v>
      </c>
      <c r="B108" s="144">
        <v>48</v>
      </c>
      <c r="C108" s="137" t="s">
        <v>623</v>
      </c>
      <c r="D108" s="141">
        <v>45443</v>
      </c>
      <c r="E108" s="2" t="s">
        <v>608</v>
      </c>
      <c r="F108" s="98" t="s">
        <v>609</v>
      </c>
      <c r="G108" s="99">
        <v>43965974818</v>
      </c>
      <c r="H108" s="74"/>
      <c r="I108" s="74">
        <v>5.12</v>
      </c>
      <c r="J108" s="113"/>
      <c r="K108" s="100">
        <f t="shared" si="56"/>
        <v>5.7856000000000005</v>
      </c>
      <c r="L108" s="95"/>
      <c r="M108" s="95">
        <f t="shared" si="57"/>
        <v>0.66560000000000008</v>
      </c>
      <c r="N108" s="64"/>
      <c r="O108" s="64"/>
      <c r="P108" s="95">
        <f t="shared" si="58"/>
        <v>0.66560000000000008</v>
      </c>
      <c r="Q108" s="64"/>
      <c r="R108" s="95">
        <f t="shared" si="59"/>
        <v>0</v>
      </c>
      <c r="S108" s="64"/>
    </row>
    <row r="109" spans="1:19" x14ac:dyDescent="0.2">
      <c r="A109" s="191">
        <v>70</v>
      </c>
      <c r="B109" s="144">
        <v>49</v>
      </c>
      <c r="C109" s="137" t="s">
        <v>718</v>
      </c>
      <c r="D109" s="141">
        <v>45443</v>
      </c>
      <c r="E109" s="2" t="s">
        <v>589</v>
      </c>
      <c r="F109" s="2" t="s">
        <v>594</v>
      </c>
      <c r="G109" s="99">
        <v>26618043061</v>
      </c>
      <c r="H109" s="74"/>
      <c r="I109" s="74"/>
      <c r="J109" s="113">
        <v>50</v>
      </c>
      <c r="K109" s="100">
        <f t="shared" ref="K109:K111" si="60">H109+I109+J109+M109</f>
        <v>62.5</v>
      </c>
      <c r="L109" s="95"/>
      <c r="M109" s="95">
        <f t="shared" ref="M109:M111" si="61">SUM(N109:S109)</f>
        <v>12.5</v>
      </c>
      <c r="N109" s="64"/>
      <c r="O109" s="64"/>
      <c r="P109" s="95">
        <f t="shared" ref="P109:P111" si="62">+I109*0.13</f>
        <v>0</v>
      </c>
      <c r="Q109" s="64"/>
      <c r="R109" s="95">
        <f t="shared" ref="R109:R111" si="63">J109*0.25</f>
        <v>12.5</v>
      </c>
      <c r="S109" s="64"/>
    </row>
    <row r="110" spans="1:19" x14ac:dyDescent="0.2">
      <c r="A110" s="191">
        <v>71</v>
      </c>
      <c r="B110" s="144">
        <v>50</v>
      </c>
      <c r="C110" s="137" t="s">
        <v>719</v>
      </c>
      <c r="D110" s="141">
        <v>45443</v>
      </c>
      <c r="E110" s="145" t="s">
        <v>588</v>
      </c>
      <c r="F110" s="176" t="s">
        <v>595</v>
      </c>
      <c r="G110" s="147">
        <v>77465071491</v>
      </c>
      <c r="H110" s="74"/>
      <c r="I110" s="74">
        <v>15.93</v>
      </c>
      <c r="J110" s="113"/>
      <c r="K110" s="100">
        <f t="shared" si="60"/>
        <v>18.000900000000001</v>
      </c>
      <c r="L110" s="95"/>
      <c r="M110" s="95">
        <f t="shared" si="61"/>
        <v>2.0709</v>
      </c>
      <c r="N110" s="64"/>
      <c r="O110" s="64"/>
      <c r="P110" s="95">
        <f t="shared" si="62"/>
        <v>2.0709</v>
      </c>
      <c r="Q110" s="64"/>
      <c r="R110" s="95">
        <f t="shared" si="63"/>
        <v>0</v>
      </c>
      <c r="S110" s="64"/>
    </row>
    <row r="111" spans="1:19" ht="13.5" thickBot="1" x14ac:dyDescent="0.25">
      <c r="A111" s="193">
        <v>72</v>
      </c>
      <c r="B111" s="168">
        <v>51</v>
      </c>
      <c r="C111" s="169" t="s">
        <v>719</v>
      </c>
      <c r="D111" s="170">
        <v>45443</v>
      </c>
      <c r="E111" s="160" t="s">
        <v>587</v>
      </c>
      <c r="F111" s="185" t="s">
        <v>607</v>
      </c>
      <c r="G111" s="161">
        <v>51260824290</v>
      </c>
      <c r="H111" s="74"/>
      <c r="I111" s="74">
        <v>3.32</v>
      </c>
      <c r="J111" s="113"/>
      <c r="K111" s="100">
        <f t="shared" si="60"/>
        <v>3.7515999999999998</v>
      </c>
      <c r="L111" s="95"/>
      <c r="M111" s="95">
        <f t="shared" si="61"/>
        <v>0.43159999999999998</v>
      </c>
      <c r="N111" s="64"/>
      <c r="O111" s="64"/>
      <c r="P111" s="95">
        <f t="shared" si="62"/>
        <v>0.43159999999999998</v>
      </c>
      <c r="Q111" s="64"/>
      <c r="R111" s="95">
        <f t="shared" si="63"/>
        <v>0</v>
      </c>
      <c r="S111" s="64"/>
    </row>
    <row r="112" spans="1:19" x14ac:dyDescent="0.2">
      <c r="A112" s="191">
        <v>74</v>
      </c>
      <c r="B112" s="144">
        <v>52</v>
      </c>
      <c r="C112" s="137" t="s">
        <v>731</v>
      </c>
      <c r="D112" s="141">
        <v>45469</v>
      </c>
      <c r="E112" s="154" t="s">
        <v>732</v>
      </c>
      <c r="F112" s="155" t="s">
        <v>733</v>
      </c>
      <c r="G112" s="156">
        <v>97890428234</v>
      </c>
      <c r="H112" s="74"/>
      <c r="I112" s="74"/>
      <c r="J112" s="113">
        <v>17.559999999999999</v>
      </c>
      <c r="K112" s="100">
        <f t="shared" ref="K112:K114" si="64">H112+I112+J112+M112</f>
        <v>21.95</v>
      </c>
      <c r="L112" s="95"/>
      <c r="M112" s="95">
        <f t="shared" ref="M112:M114" si="65">SUM(N112:S112)</f>
        <v>4.3899999999999997</v>
      </c>
      <c r="N112" s="64"/>
      <c r="O112" s="64"/>
      <c r="P112" s="95">
        <f t="shared" ref="P112:P114" si="66">+I112*0.13</f>
        <v>0</v>
      </c>
      <c r="Q112" s="64"/>
      <c r="R112" s="95">
        <f t="shared" ref="R112:R114" si="67">J112*0.25</f>
        <v>4.3899999999999997</v>
      </c>
      <c r="S112" s="64"/>
    </row>
    <row r="113" spans="1:19" ht="13.5" thickBot="1" x14ac:dyDescent="0.25">
      <c r="A113" s="191">
        <v>75</v>
      </c>
      <c r="B113" s="173">
        <v>53</v>
      </c>
      <c r="C113" s="174" t="s">
        <v>734</v>
      </c>
      <c r="D113" s="175">
        <v>45473</v>
      </c>
      <c r="E113" s="195" t="s">
        <v>735</v>
      </c>
      <c r="F113" s="196" t="s">
        <v>736</v>
      </c>
      <c r="G113" s="197">
        <v>93476448836</v>
      </c>
      <c r="H113" s="74"/>
      <c r="I113" s="74"/>
      <c r="J113" s="113">
        <v>356.4</v>
      </c>
      <c r="K113" s="100">
        <f t="shared" si="64"/>
        <v>445.5</v>
      </c>
      <c r="L113" s="95"/>
      <c r="M113" s="95">
        <f t="shared" si="65"/>
        <v>89.1</v>
      </c>
      <c r="N113" s="64"/>
      <c r="O113" s="64"/>
      <c r="P113" s="95">
        <f t="shared" si="66"/>
        <v>0</v>
      </c>
      <c r="Q113" s="64"/>
      <c r="R113" s="95">
        <f t="shared" si="67"/>
        <v>89.1</v>
      </c>
      <c r="S113" s="64"/>
    </row>
    <row r="114" spans="1:19" x14ac:dyDescent="0.2">
      <c r="A114" s="120">
        <v>0</v>
      </c>
      <c r="B114" s="142">
        <v>0</v>
      </c>
      <c r="C114" s="143"/>
      <c r="D114" s="150"/>
      <c r="E114" s="151"/>
      <c r="F114" s="152"/>
      <c r="G114" s="153"/>
      <c r="H114" s="74"/>
      <c r="I114" s="74"/>
      <c r="J114" s="113"/>
      <c r="K114" s="100">
        <f t="shared" si="64"/>
        <v>0</v>
      </c>
      <c r="L114" s="95"/>
      <c r="M114" s="95">
        <f t="shared" si="65"/>
        <v>0</v>
      </c>
      <c r="N114" s="64"/>
      <c r="O114" s="64"/>
      <c r="P114" s="95">
        <f t="shared" si="66"/>
        <v>0</v>
      </c>
      <c r="Q114" s="64"/>
      <c r="R114" s="95">
        <f t="shared" si="67"/>
        <v>0</v>
      </c>
      <c r="S114" s="64"/>
    </row>
    <row r="115" spans="1:19" x14ac:dyDescent="0.2">
      <c r="A115" s="1">
        <v>0</v>
      </c>
      <c r="B115" s="288" t="s">
        <v>737</v>
      </c>
      <c r="C115" s="289"/>
      <c r="D115" s="289"/>
      <c r="E115" s="289"/>
      <c r="F115" s="290"/>
      <c r="G115" s="156"/>
      <c r="H115" s="74"/>
      <c r="I115" s="74"/>
      <c r="J115" s="113"/>
      <c r="K115" s="100">
        <f t="shared" ref="K115:K132" si="68">H115+I115+J115+M115</f>
        <v>0</v>
      </c>
      <c r="L115" s="95"/>
      <c r="M115" s="95">
        <f t="shared" ref="M115:M132" si="69">SUM(N115:S115)</f>
        <v>0</v>
      </c>
      <c r="N115" s="64"/>
      <c r="O115" s="64"/>
      <c r="P115" s="95">
        <f t="shared" ref="P115:P132" si="70">+I115*0.13</f>
        <v>0</v>
      </c>
      <c r="Q115" s="64"/>
      <c r="R115" s="95">
        <f t="shared" ref="R115:R132" si="71">J115*0.25</f>
        <v>0</v>
      </c>
      <c r="S115" s="64"/>
    </row>
    <row r="116" spans="1:19" ht="13.5" thickBot="1" x14ac:dyDescent="0.25">
      <c r="A116" s="1">
        <v>0</v>
      </c>
      <c r="B116" s="173">
        <v>0</v>
      </c>
      <c r="C116" s="174"/>
      <c r="D116" s="175"/>
      <c r="E116" s="195"/>
      <c r="F116" s="196"/>
      <c r="G116" s="197"/>
      <c r="H116" s="74"/>
      <c r="I116" s="74"/>
      <c r="J116" s="113"/>
      <c r="K116" s="100">
        <f t="shared" si="68"/>
        <v>0</v>
      </c>
      <c r="L116" s="95"/>
      <c r="M116" s="95">
        <f t="shared" si="69"/>
        <v>0</v>
      </c>
      <c r="N116" s="64"/>
      <c r="O116" s="64"/>
      <c r="P116" s="95">
        <f t="shared" si="70"/>
        <v>0</v>
      </c>
      <c r="Q116" s="64"/>
      <c r="R116" s="95">
        <f t="shared" si="71"/>
        <v>0</v>
      </c>
      <c r="S116" s="64"/>
    </row>
    <row r="117" spans="1:19" x14ac:dyDescent="0.2">
      <c r="A117" s="206">
        <v>76</v>
      </c>
      <c r="B117" s="142">
        <v>54</v>
      </c>
      <c r="C117" s="143" t="s">
        <v>719</v>
      </c>
      <c r="D117" s="150">
        <v>45443</v>
      </c>
      <c r="E117" s="151" t="s">
        <v>588</v>
      </c>
      <c r="F117" s="198" t="s">
        <v>595</v>
      </c>
      <c r="G117" s="153">
        <v>77465071491</v>
      </c>
      <c r="H117" s="74"/>
      <c r="I117" s="74">
        <v>15.93</v>
      </c>
      <c r="J117" s="113"/>
      <c r="K117" s="100">
        <f t="shared" si="68"/>
        <v>18.000900000000001</v>
      </c>
      <c r="L117" s="95"/>
      <c r="M117" s="95">
        <f t="shared" si="69"/>
        <v>2.0709</v>
      </c>
      <c r="N117" s="64"/>
      <c r="O117" s="64"/>
      <c r="P117" s="95">
        <f t="shared" si="70"/>
        <v>2.0709</v>
      </c>
      <c r="Q117" s="64"/>
      <c r="R117" s="95">
        <f t="shared" si="71"/>
        <v>0</v>
      </c>
      <c r="S117" s="64"/>
    </row>
    <row r="118" spans="1:19" x14ac:dyDescent="0.2">
      <c r="A118" s="207">
        <v>77</v>
      </c>
      <c r="B118" s="144">
        <v>55</v>
      </c>
      <c r="C118" s="137" t="s">
        <v>738</v>
      </c>
      <c r="D118" s="141">
        <v>45443</v>
      </c>
      <c r="E118" s="2" t="s">
        <v>587</v>
      </c>
      <c r="F118" s="98" t="s">
        <v>607</v>
      </c>
      <c r="G118" s="99">
        <v>51260824290</v>
      </c>
      <c r="H118" s="74"/>
      <c r="I118" s="74">
        <v>3.32</v>
      </c>
      <c r="J118" s="113"/>
      <c r="K118" s="100">
        <f t="shared" si="68"/>
        <v>3.7515999999999998</v>
      </c>
      <c r="L118" s="95"/>
      <c r="M118" s="95">
        <f t="shared" si="69"/>
        <v>0.43159999999999998</v>
      </c>
      <c r="N118" s="64"/>
      <c r="O118" s="64"/>
      <c r="P118" s="95">
        <f t="shared" si="70"/>
        <v>0.43159999999999998</v>
      </c>
      <c r="Q118" s="64"/>
      <c r="R118" s="95">
        <f t="shared" si="71"/>
        <v>0</v>
      </c>
      <c r="S118" s="64"/>
    </row>
    <row r="119" spans="1:19" x14ac:dyDescent="0.2">
      <c r="A119" s="207">
        <v>78</v>
      </c>
      <c r="B119" s="144">
        <v>56</v>
      </c>
      <c r="C119" s="137" t="s">
        <v>719</v>
      </c>
      <c r="D119" s="141">
        <v>45443</v>
      </c>
      <c r="E119" s="2" t="s">
        <v>587</v>
      </c>
      <c r="F119" s="98" t="s">
        <v>607</v>
      </c>
      <c r="G119" s="99">
        <v>51260824290</v>
      </c>
      <c r="H119" s="74"/>
      <c r="I119" s="74">
        <v>3.32</v>
      </c>
      <c r="J119" s="113"/>
      <c r="K119" s="100">
        <f t="shared" si="68"/>
        <v>3.7515999999999998</v>
      </c>
      <c r="L119" s="95"/>
      <c r="M119" s="95">
        <f t="shared" si="69"/>
        <v>0.43159999999999998</v>
      </c>
      <c r="N119" s="64"/>
      <c r="O119" s="64"/>
      <c r="P119" s="95">
        <f t="shared" si="70"/>
        <v>0.43159999999999998</v>
      </c>
      <c r="Q119" s="64"/>
      <c r="R119" s="95">
        <f t="shared" si="71"/>
        <v>0</v>
      </c>
      <c r="S119" s="64"/>
    </row>
    <row r="120" spans="1:19" x14ac:dyDescent="0.2">
      <c r="A120" s="207">
        <v>79</v>
      </c>
      <c r="B120" s="144">
        <v>57</v>
      </c>
      <c r="C120" s="137" t="s">
        <v>739</v>
      </c>
      <c r="D120" s="141">
        <v>45443</v>
      </c>
      <c r="E120" s="145" t="s">
        <v>587</v>
      </c>
      <c r="F120" s="146" t="s">
        <v>607</v>
      </c>
      <c r="G120" s="147">
        <v>51260824290</v>
      </c>
      <c r="H120" s="74"/>
      <c r="I120" s="74">
        <v>3.32</v>
      </c>
      <c r="J120" s="113"/>
      <c r="K120" s="100">
        <f t="shared" si="68"/>
        <v>3.7515999999999998</v>
      </c>
      <c r="L120" s="95"/>
      <c r="M120" s="95">
        <f t="shared" si="69"/>
        <v>0.43159999999999998</v>
      </c>
      <c r="N120" s="64"/>
      <c r="O120" s="64"/>
      <c r="P120" s="95">
        <f t="shared" si="70"/>
        <v>0.43159999999999998</v>
      </c>
      <c r="Q120" s="64"/>
      <c r="R120" s="95">
        <f t="shared" si="71"/>
        <v>0</v>
      </c>
      <c r="S120" s="64"/>
    </row>
    <row r="121" spans="1:19" x14ac:dyDescent="0.2">
      <c r="A121" s="207">
        <v>80</v>
      </c>
      <c r="B121" s="144">
        <v>58</v>
      </c>
      <c r="C121" s="137" t="s">
        <v>740</v>
      </c>
      <c r="D121" s="141">
        <v>45473</v>
      </c>
      <c r="E121" s="2" t="s">
        <v>589</v>
      </c>
      <c r="F121" s="2" t="s">
        <v>594</v>
      </c>
      <c r="G121" s="99">
        <v>26618043061</v>
      </c>
      <c r="H121" s="74"/>
      <c r="I121" s="74"/>
      <c r="J121" s="113">
        <v>50</v>
      </c>
      <c r="K121" s="100">
        <f t="shared" si="68"/>
        <v>62.5</v>
      </c>
      <c r="L121" s="95"/>
      <c r="M121" s="95">
        <f t="shared" si="69"/>
        <v>12.5</v>
      </c>
      <c r="N121" s="64"/>
      <c r="O121" s="64"/>
      <c r="P121" s="95">
        <f t="shared" si="70"/>
        <v>0</v>
      </c>
      <c r="Q121" s="64"/>
      <c r="R121" s="95">
        <f t="shared" si="71"/>
        <v>12.5</v>
      </c>
      <c r="S121" s="64"/>
    </row>
    <row r="122" spans="1:19" x14ac:dyDescent="0.2">
      <c r="A122" s="207">
        <v>83</v>
      </c>
      <c r="B122" s="144">
        <v>59</v>
      </c>
      <c r="C122" s="137" t="s">
        <v>634</v>
      </c>
      <c r="D122" s="141">
        <v>45473</v>
      </c>
      <c r="E122" s="2" t="s">
        <v>608</v>
      </c>
      <c r="F122" s="98" t="s">
        <v>609</v>
      </c>
      <c r="G122" s="99">
        <v>43965974818</v>
      </c>
      <c r="H122" s="74"/>
      <c r="I122" s="74">
        <v>32.340000000000003</v>
      </c>
      <c r="J122" s="113"/>
      <c r="K122" s="100">
        <f t="shared" si="68"/>
        <v>36.544200000000004</v>
      </c>
      <c r="L122" s="95"/>
      <c r="M122" s="95">
        <f t="shared" si="69"/>
        <v>4.2042000000000002</v>
      </c>
      <c r="N122" s="64"/>
      <c r="O122" s="64"/>
      <c r="P122" s="95">
        <f t="shared" si="70"/>
        <v>4.2042000000000002</v>
      </c>
      <c r="Q122" s="64"/>
      <c r="R122" s="95">
        <f t="shared" si="71"/>
        <v>0</v>
      </c>
      <c r="S122" s="64"/>
    </row>
    <row r="123" spans="1:19" x14ac:dyDescent="0.2">
      <c r="A123" s="207">
        <v>84</v>
      </c>
      <c r="B123" s="144">
        <v>60</v>
      </c>
      <c r="C123" s="137" t="s">
        <v>623</v>
      </c>
      <c r="D123" s="141">
        <v>45473</v>
      </c>
      <c r="E123" s="2" t="s">
        <v>608</v>
      </c>
      <c r="F123" s="98" t="s">
        <v>609</v>
      </c>
      <c r="G123" s="99">
        <v>43965974818</v>
      </c>
      <c r="H123" s="74"/>
      <c r="I123" s="74">
        <v>20.73</v>
      </c>
      <c r="J123" s="113"/>
      <c r="K123" s="100">
        <f t="shared" si="68"/>
        <v>23.424900000000001</v>
      </c>
      <c r="L123" s="95"/>
      <c r="M123" s="95">
        <f t="shared" si="69"/>
        <v>2.6949000000000001</v>
      </c>
      <c r="N123" s="64"/>
      <c r="O123" s="64"/>
      <c r="P123" s="95">
        <f t="shared" si="70"/>
        <v>2.6949000000000001</v>
      </c>
      <c r="Q123" s="64"/>
      <c r="R123" s="95">
        <f t="shared" si="71"/>
        <v>0</v>
      </c>
      <c r="S123" s="64"/>
    </row>
    <row r="124" spans="1:19" x14ac:dyDescent="0.2">
      <c r="A124" s="207">
        <v>85</v>
      </c>
      <c r="B124" s="144">
        <v>61</v>
      </c>
      <c r="C124" s="137" t="s">
        <v>621</v>
      </c>
      <c r="D124" s="141">
        <v>45473</v>
      </c>
      <c r="E124" s="2" t="s">
        <v>608</v>
      </c>
      <c r="F124" s="98" t="s">
        <v>609</v>
      </c>
      <c r="G124" s="99">
        <v>43965974818</v>
      </c>
      <c r="H124" s="74"/>
      <c r="I124" s="74">
        <v>24.31</v>
      </c>
      <c r="J124" s="113"/>
      <c r="K124" s="100">
        <f t="shared" si="68"/>
        <v>27.470299999999998</v>
      </c>
      <c r="L124" s="95"/>
      <c r="M124" s="95">
        <f t="shared" si="69"/>
        <v>3.1602999999999999</v>
      </c>
      <c r="N124" s="64"/>
      <c r="O124" s="64"/>
      <c r="P124" s="95">
        <f t="shared" si="70"/>
        <v>3.1602999999999999</v>
      </c>
      <c r="Q124" s="64"/>
      <c r="R124" s="95">
        <f t="shared" si="71"/>
        <v>0</v>
      </c>
      <c r="S124" s="64"/>
    </row>
    <row r="125" spans="1:19" x14ac:dyDescent="0.2">
      <c r="A125" s="207">
        <v>86</v>
      </c>
      <c r="B125" s="144">
        <v>62</v>
      </c>
      <c r="C125" s="137" t="s">
        <v>622</v>
      </c>
      <c r="D125" s="141">
        <v>45473</v>
      </c>
      <c r="E125" s="2" t="s">
        <v>608</v>
      </c>
      <c r="F125" s="98" t="s">
        <v>609</v>
      </c>
      <c r="G125" s="99">
        <v>43965974818</v>
      </c>
      <c r="H125" s="74"/>
      <c r="I125" s="74">
        <v>30.69</v>
      </c>
      <c r="J125" s="113"/>
      <c r="K125" s="100">
        <f t="shared" si="68"/>
        <v>34.679700000000004</v>
      </c>
      <c r="L125" s="95"/>
      <c r="M125" s="95">
        <f t="shared" si="69"/>
        <v>3.9897000000000005</v>
      </c>
      <c r="N125" s="64"/>
      <c r="O125" s="64"/>
      <c r="P125" s="95">
        <f t="shared" si="70"/>
        <v>3.9897000000000005</v>
      </c>
      <c r="Q125" s="64"/>
      <c r="R125" s="95">
        <f t="shared" si="71"/>
        <v>0</v>
      </c>
      <c r="S125" s="64"/>
    </row>
    <row r="126" spans="1:19" x14ac:dyDescent="0.2">
      <c r="A126" s="207">
        <v>87</v>
      </c>
      <c r="B126" s="144">
        <v>63</v>
      </c>
      <c r="C126" s="137" t="s">
        <v>741</v>
      </c>
      <c r="D126" s="141">
        <v>45473</v>
      </c>
      <c r="E126" s="145" t="s">
        <v>588</v>
      </c>
      <c r="F126" s="176" t="s">
        <v>595</v>
      </c>
      <c r="G126" s="147">
        <v>77465071491</v>
      </c>
      <c r="H126" s="74"/>
      <c r="I126" s="74">
        <v>15.93</v>
      </c>
      <c r="J126" s="113"/>
      <c r="K126" s="100">
        <f t="shared" si="68"/>
        <v>18.000900000000001</v>
      </c>
      <c r="L126" s="95"/>
      <c r="M126" s="95">
        <f t="shared" si="69"/>
        <v>2.0709</v>
      </c>
      <c r="N126" s="64"/>
      <c r="O126" s="64"/>
      <c r="P126" s="95">
        <f t="shared" si="70"/>
        <v>2.0709</v>
      </c>
      <c r="Q126" s="64"/>
      <c r="R126" s="95">
        <f t="shared" si="71"/>
        <v>0</v>
      </c>
      <c r="S126" s="64"/>
    </row>
    <row r="127" spans="1:19" x14ac:dyDescent="0.2">
      <c r="A127" s="207">
        <v>88</v>
      </c>
      <c r="B127" s="144">
        <v>64</v>
      </c>
      <c r="C127" s="137" t="s">
        <v>741</v>
      </c>
      <c r="D127" s="141">
        <v>45473</v>
      </c>
      <c r="E127" s="2" t="s">
        <v>587</v>
      </c>
      <c r="F127" s="98" t="s">
        <v>607</v>
      </c>
      <c r="G127" s="99">
        <v>51260824290</v>
      </c>
      <c r="H127" s="74"/>
      <c r="I127" s="74">
        <v>3.32</v>
      </c>
      <c r="J127" s="113"/>
      <c r="K127" s="100">
        <f t="shared" si="68"/>
        <v>3.7515999999999998</v>
      </c>
      <c r="L127" s="95"/>
      <c r="M127" s="95">
        <f t="shared" si="69"/>
        <v>0.43159999999999998</v>
      </c>
      <c r="N127" s="64"/>
      <c r="O127" s="64"/>
      <c r="P127" s="95">
        <f t="shared" si="70"/>
        <v>0.43159999999999998</v>
      </c>
      <c r="Q127" s="64"/>
      <c r="R127" s="95">
        <f t="shared" si="71"/>
        <v>0</v>
      </c>
      <c r="S127" s="64"/>
    </row>
    <row r="128" spans="1:19" x14ac:dyDescent="0.2">
      <c r="A128" s="207">
        <v>89</v>
      </c>
      <c r="B128" s="144">
        <v>65</v>
      </c>
      <c r="C128" s="137" t="s">
        <v>742</v>
      </c>
      <c r="D128" s="141">
        <v>45473</v>
      </c>
      <c r="E128" s="2" t="s">
        <v>587</v>
      </c>
      <c r="F128" s="98" t="s">
        <v>607</v>
      </c>
      <c r="G128" s="99">
        <v>51260824290</v>
      </c>
      <c r="H128" s="74"/>
      <c r="I128" s="74">
        <v>3.32</v>
      </c>
      <c r="J128" s="113"/>
      <c r="K128" s="100">
        <f t="shared" si="68"/>
        <v>3.7515999999999998</v>
      </c>
      <c r="L128" s="95"/>
      <c r="M128" s="95">
        <f t="shared" si="69"/>
        <v>0.43159999999999998</v>
      </c>
      <c r="N128" s="64"/>
      <c r="O128" s="64"/>
      <c r="P128" s="95">
        <f t="shared" si="70"/>
        <v>0.43159999999999998</v>
      </c>
      <c r="Q128" s="64"/>
      <c r="R128" s="95">
        <f t="shared" si="71"/>
        <v>0</v>
      </c>
      <c r="S128" s="64"/>
    </row>
    <row r="129" spans="1:19" x14ac:dyDescent="0.2">
      <c r="A129" s="207">
        <v>90</v>
      </c>
      <c r="B129" s="144">
        <v>66</v>
      </c>
      <c r="C129" s="137" t="s">
        <v>743</v>
      </c>
      <c r="D129" s="141">
        <v>45473</v>
      </c>
      <c r="E129" s="145" t="s">
        <v>587</v>
      </c>
      <c r="F129" s="146" t="s">
        <v>607</v>
      </c>
      <c r="G129" s="147">
        <v>51260824290</v>
      </c>
      <c r="H129" s="74"/>
      <c r="I129" s="74">
        <v>3.32</v>
      </c>
      <c r="J129" s="113"/>
      <c r="K129" s="100">
        <f t="shared" si="68"/>
        <v>3.7515999999999998</v>
      </c>
      <c r="L129" s="95"/>
      <c r="M129" s="95">
        <f t="shared" si="69"/>
        <v>0.43159999999999998</v>
      </c>
      <c r="N129" s="64"/>
      <c r="O129" s="64"/>
      <c r="P129" s="95">
        <f t="shared" si="70"/>
        <v>0.43159999999999998</v>
      </c>
      <c r="Q129" s="64"/>
      <c r="R129" s="95">
        <f t="shared" si="71"/>
        <v>0</v>
      </c>
      <c r="S129" s="64"/>
    </row>
    <row r="130" spans="1:19" ht="13.5" thickBot="1" x14ac:dyDescent="0.25">
      <c r="A130" s="207">
        <v>91</v>
      </c>
      <c r="B130" s="173">
        <v>67</v>
      </c>
      <c r="C130" s="174" t="s">
        <v>744</v>
      </c>
      <c r="D130" s="175">
        <v>45473</v>
      </c>
      <c r="E130" s="2" t="s">
        <v>632</v>
      </c>
      <c r="F130" s="146" t="s">
        <v>633</v>
      </c>
      <c r="G130" s="147">
        <v>81793146560</v>
      </c>
      <c r="H130" s="74"/>
      <c r="I130" s="74"/>
      <c r="J130" s="113">
        <v>26.64</v>
      </c>
      <c r="K130" s="100">
        <f t="shared" si="68"/>
        <v>33.299999999999997</v>
      </c>
      <c r="L130" s="95"/>
      <c r="M130" s="95">
        <f t="shared" si="69"/>
        <v>6.66</v>
      </c>
      <c r="N130" s="64"/>
      <c r="O130" s="64"/>
      <c r="P130" s="95">
        <f t="shared" si="70"/>
        <v>0</v>
      </c>
      <c r="Q130" s="64"/>
      <c r="R130" s="95">
        <f t="shared" si="71"/>
        <v>6.66</v>
      </c>
      <c r="S130" s="64"/>
    </row>
    <row r="131" spans="1:19" x14ac:dyDescent="0.2">
      <c r="A131" s="208">
        <v>93</v>
      </c>
      <c r="B131" s="142">
        <v>68</v>
      </c>
      <c r="C131" s="143" t="s">
        <v>746</v>
      </c>
      <c r="D131" s="150">
        <v>45478</v>
      </c>
      <c r="E131" s="130" t="s">
        <v>612</v>
      </c>
      <c r="F131" s="131" t="s">
        <v>613</v>
      </c>
      <c r="G131" s="132">
        <v>96860569005</v>
      </c>
      <c r="H131" s="74"/>
      <c r="I131" s="74"/>
      <c r="J131" s="113">
        <v>27</v>
      </c>
      <c r="K131" s="100">
        <f t="shared" si="68"/>
        <v>33.75</v>
      </c>
      <c r="L131" s="95"/>
      <c r="M131" s="95">
        <f t="shared" si="69"/>
        <v>6.75</v>
      </c>
      <c r="N131" s="64"/>
      <c r="O131" s="64"/>
      <c r="P131" s="95">
        <f t="shared" si="70"/>
        <v>0</v>
      </c>
      <c r="Q131" s="64"/>
      <c r="R131" s="95">
        <f t="shared" si="71"/>
        <v>6.75</v>
      </c>
      <c r="S131" s="64"/>
    </row>
    <row r="132" spans="1:19" x14ac:dyDescent="0.2">
      <c r="A132" s="207">
        <v>94</v>
      </c>
      <c r="B132" s="144">
        <v>69</v>
      </c>
      <c r="C132" s="137" t="s">
        <v>747</v>
      </c>
      <c r="D132" s="141">
        <v>45487</v>
      </c>
      <c r="E132" s="2" t="s">
        <v>735</v>
      </c>
      <c r="F132" s="98" t="s">
        <v>736</v>
      </c>
      <c r="G132" s="99">
        <v>93476448836</v>
      </c>
      <c r="H132" s="74"/>
      <c r="I132" s="74"/>
      <c r="J132" s="113">
        <v>403.2</v>
      </c>
      <c r="K132" s="100">
        <f t="shared" si="68"/>
        <v>504</v>
      </c>
      <c r="L132" s="95"/>
      <c r="M132" s="95">
        <f t="shared" si="69"/>
        <v>100.8</v>
      </c>
      <c r="N132" s="64"/>
      <c r="O132" s="64"/>
      <c r="P132" s="95">
        <f t="shared" si="70"/>
        <v>0</v>
      </c>
      <c r="Q132" s="64"/>
      <c r="R132" s="95">
        <f t="shared" si="71"/>
        <v>100.8</v>
      </c>
      <c r="S132" s="64"/>
    </row>
    <row r="133" spans="1:19" x14ac:dyDescent="0.2">
      <c r="A133" s="207">
        <v>95</v>
      </c>
      <c r="B133" s="144">
        <v>70</v>
      </c>
      <c r="C133" s="137" t="s">
        <v>748</v>
      </c>
      <c r="D133" s="141">
        <v>45504</v>
      </c>
      <c r="E133" s="2" t="s">
        <v>735</v>
      </c>
      <c r="F133" s="98" t="s">
        <v>736</v>
      </c>
      <c r="G133" s="99">
        <v>93476448836</v>
      </c>
      <c r="H133" s="74"/>
      <c r="I133" s="74"/>
      <c r="J133" s="113">
        <v>642.4</v>
      </c>
      <c r="K133" s="100">
        <f t="shared" ref="K133:K156" si="72">H133+I133+J133+M133</f>
        <v>803</v>
      </c>
      <c r="L133" s="95"/>
      <c r="M133" s="95">
        <f t="shared" ref="M133:M156" si="73">SUM(N133:S133)</f>
        <v>160.6</v>
      </c>
      <c r="N133" s="64"/>
      <c r="O133" s="64"/>
      <c r="P133" s="95">
        <f t="shared" ref="P133:P156" si="74">+I133*0.13</f>
        <v>0</v>
      </c>
      <c r="Q133" s="64"/>
      <c r="R133" s="95">
        <f t="shared" ref="R133:R156" si="75">J133*0.25</f>
        <v>160.6</v>
      </c>
      <c r="S133" s="64"/>
    </row>
    <row r="134" spans="1:19" x14ac:dyDescent="0.2">
      <c r="A134" s="207">
        <v>96</v>
      </c>
      <c r="B134" s="144">
        <v>71</v>
      </c>
      <c r="C134" s="137" t="s">
        <v>622</v>
      </c>
      <c r="D134" s="141">
        <v>45504</v>
      </c>
      <c r="E134" s="2" t="s">
        <v>608</v>
      </c>
      <c r="F134" s="98" t="s">
        <v>609</v>
      </c>
      <c r="G134" s="99">
        <v>43965974818</v>
      </c>
      <c r="H134" s="74"/>
      <c r="I134" s="74">
        <v>37.67</v>
      </c>
      <c r="J134" s="113"/>
      <c r="K134" s="100">
        <f t="shared" si="72"/>
        <v>42.567100000000003</v>
      </c>
      <c r="L134" s="95"/>
      <c r="M134" s="95">
        <f t="shared" si="73"/>
        <v>4.8971</v>
      </c>
      <c r="N134" s="64"/>
      <c r="O134" s="64"/>
      <c r="P134" s="95">
        <f t="shared" si="74"/>
        <v>4.8971</v>
      </c>
      <c r="Q134" s="64"/>
      <c r="R134" s="95">
        <f t="shared" si="75"/>
        <v>0</v>
      </c>
      <c r="S134" s="64"/>
    </row>
    <row r="135" spans="1:19" x14ac:dyDescent="0.2">
      <c r="A135" s="207">
        <v>97</v>
      </c>
      <c r="B135" s="144">
        <v>72</v>
      </c>
      <c r="C135" s="137" t="s">
        <v>634</v>
      </c>
      <c r="D135" s="141">
        <v>45504</v>
      </c>
      <c r="E135" s="2" t="s">
        <v>608</v>
      </c>
      <c r="F135" s="98" t="s">
        <v>609</v>
      </c>
      <c r="G135" s="99">
        <v>43965974818</v>
      </c>
      <c r="H135" s="74"/>
      <c r="I135" s="74">
        <v>71.319999999999993</v>
      </c>
      <c r="J135" s="113"/>
      <c r="K135" s="100">
        <f t="shared" si="72"/>
        <v>80.5916</v>
      </c>
      <c r="L135" s="95"/>
      <c r="M135" s="95">
        <f t="shared" si="73"/>
        <v>9.2715999999999994</v>
      </c>
      <c r="N135" s="64"/>
      <c r="O135" s="64"/>
      <c r="P135" s="95">
        <f t="shared" si="74"/>
        <v>9.2715999999999994</v>
      </c>
      <c r="Q135" s="64"/>
      <c r="R135" s="95">
        <f t="shared" si="75"/>
        <v>0</v>
      </c>
      <c r="S135" s="64"/>
    </row>
    <row r="136" spans="1:19" x14ac:dyDescent="0.2">
      <c r="A136" s="207">
        <v>98</v>
      </c>
      <c r="B136" s="144">
        <v>73</v>
      </c>
      <c r="C136" s="137" t="s">
        <v>621</v>
      </c>
      <c r="D136" s="141">
        <v>45504</v>
      </c>
      <c r="E136" s="2" t="s">
        <v>608</v>
      </c>
      <c r="F136" s="98" t="s">
        <v>609</v>
      </c>
      <c r="G136" s="99">
        <v>43965974818</v>
      </c>
      <c r="H136" s="74"/>
      <c r="I136" s="74">
        <v>121.12</v>
      </c>
      <c r="J136" s="113"/>
      <c r="K136" s="100">
        <f t="shared" si="72"/>
        <v>136.8656</v>
      </c>
      <c r="L136" s="95"/>
      <c r="M136" s="95">
        <f t="shared" si="73"/>
        <v>15.745600000000001</v>
      </c>
      <c r="N136" s="64"/>
      <c r="O136" s="64"/>
      <c r="P136" s="95">
        <f t="shared" si="74"/>
        <v>15.745600000000001</v>
      </c>
      <c r="Q136" s="64"/>
      <c r="R136" s="95">
        <f t="shared" si="75"/>
        <v>0</v>
      </c>
      <c r="S136" s="64"/>
    </row>
    <row r="137" spans="1:19" ht="13.5" thickBot="1" x14ac:dyDescent="0.25">
      <c r="A137" s="207">
        <v>99</v>
      </c>
      <c r="B137" s="144">
        <v>74</v>
      </c>
      <c r="C137" s="137" t="s">
        <v>623</v>
      </c>
      <c r="D137" s="141">
        <v>45504</v>
      </c>
      <c r="E137" s="2" t="s">
        <v>608</v>
      </c>
      <c r="F137" s="98" t="s">
        <v>609</v>
      </c>
      <c r="G137" s="99">
        <v>43965974818</v>
      </c>
      <c r="H137" s="74"/>
      <c r="I137" s="74">
        <v>92.33</v>
      </c>
      <c r="J137" s="113"/>
      <c r="K137" s="100">
        <f t="shared" si="72"/>
        <v>104.3329</v>
      </c>
      <c r="L137" s="95"/>
      <c r="M137" s="95">
        <f t="shared" si="73"/>
        <v>12.0029</v>
      </c>
      <c r="N137" s="64"/>
      <c r="O137" s="64"/>
      <c r="P137" s="95">
        <f t="shared" si="74"/>
        <v>12.0029</v>
      </c>
      <c r="Q137" s="64"/>
      <c r="R137" s="95">
        <f t="shared" si="75"/>
        <v>0</v>
      </c>
      <c r="S137" s="64"/>
    </row>
    <row r="138" spans="1:19" x14ac:dyDescent="0.2">
      <c r="A138" s="120">
        <v>0</v>
      </c>
      <c r="B138" s="142">
        <v>0</v>
      </c>
      <c r="C138" s="143"/>
      <c r="D138" s="150"/>
      <c r="E138" s="151"/>
      <c r="F138" s="152"/>
      <c r="G138" s="153"/>
      <c r="H138" s="74"/>
      <c r="I138" s="74"/>
      <c r="J138" s="113"/>
      <c r="K138" s="100">
        <f t="shared" si="72"/>
        <v>0</v>
      </c>
      <c r="L138" s="95"/>
      <c r="M138" s="95">
        <f t="shared" si="73"/>
        <v>0</v>
      </c>
      <c r="N138" s="64"/>
      <c r="O138" s="64"/>
      <c r="P138" s="95">
        <f t="shared" si="74"/>
        <v>0</v>
      </c>
      <c r="Q138" s="64"/>
      <c r="R138" s="95">
        <f t="shared" si="75"/>
        <v>0</v>
      </c>
      <c r="S138" s="64"/>
    </row>
    <row r="139" spans="1:19" x14ac:dyDescent="0.2">
      <c r="A139" s="1">
        <v>0</v>
      </c>
      <c r="B139" s="291" t="s">
        <v>749</v>
      </c>
      <c r="C139" s="292"/>
      <c r="D139" s="292"/>
      <c r="E139" s="292"/>
      <c r="F139" s="293"/>
      <c r="G139" s="156"/>
      <c r="H139" s="74"/>
      <c r="I139" s="74"/>
      <c r="J139" s="113"/>
      <c r="K139" s="100">
        <f t="shared" si="72"/>
        <v>0</v>
      </c>
      <c r="L139" s="95"/>
      <c r="M139" s="95">
        <f t="shared" si="73"/>
        <v>0</v>
      </c>
      <c r="N139" s="64"/>
      <c r="O139" s="64"/>
      <c r="P139" s="95">
        <f t="shared" si="74"/>
        <v>0</v>
      </c>
      <c r="Q139" s="64"/>
      <c r="R139" s="95">
        <f t="shared" si="75"/>
        <v>0</v>
      </c>
      <c r="S139" s="64"/>
    </row>
    <row r="140" spans="1:19" ht="13.5" thickBot="1" x14ac:dyDescent="0.25">
      <c r="A140" s="164">
        <v>0</v>
      </c>
      <c r="B140" s="168">
        <v>0</v>
      </c>
      <c r="C140" s="169"/>
      <c r="D140" s="170"/>
      <c r="E140" s="13"/>
      <c r="F140" s="204"/>
      <c r="G140" s="205"/>
      <c r="H140" s="74"/>
      <c r="I140" s="74"/>
      <c r="J140" s="113"/>
      <c r="K140" s="100">
        <f t="shared" si="72"/>
        <v>0</v>
      </c>
      <c r="L140" s="95"/>
      <c r="M140" s="95">
        <f t="shared" si="73"/>
        <v>0</v>
      </c>
      <c r="N140" s="64"/>
      <c r="O140" s="64"/>
      <c r="P140" s="95">
        <f t="shared" si="74"/>
        <v>0</v>
      </c>
      <c r="Q140" s="64"/>
      <c r="R140" s="95">
        <f t="shared" si="75"/>
        <v>0</v>
      </c>
      <c r="S140" s="64"/>
    </row>
    <row r="141" spans="1:19" x14ac:dyDescent="0.2">
      <c r="A141" s="1">
        <v>0</v>
      </c>
      <c r="B141" s="144">
        <v>0</v>
      </c>
      <c r="C141" s="137"/>
      <c r="D141" s="141"/>
      <c r="E141" s="154"/>
      <c r="F141" s="155"/>
      <c r="G141" s="156"/>
      <c r="H141" s="74"/>
      <c r="I141" s="74"/>
      <c r="J141" s="113"/>
      <c r="K141" s="100">
        <f t="shared" si="72"/>
        <v>0</v>
      </c>
      <c r="L141" s="95"/>
      <c r="M141" s="95">
        <f t="shared" si="73"/>
        <v>0</v>
      </c>
      <c r="N141" s="64"/>
      <c r="O141" s="64"/>
      <c r="P141" s="95">
        <f t="shared" si="74"/>
        <v>0</v>
      </c>
      <c r="Q141" s="64"/>
      <c r="R141" s="95">
        <f t="shared" si="75"/>
        <v>0</v>
      </c>
      <c r="S141" s="64"/>
    </row>
    <row r="142" spans="1:19" x14ac:dyDescent="0.2">
      <c r="A142" s="1">
        <v>0</v>
      </c>
      <c r="B142" s="144">
        <v>0</v>
      </c>
      <c r="C142" s="137"/>
      <c r="D142" s="141"/>
      <c r="E142" s="154"/>
      <c r="F142" s="155"/>
      <c r="G142" s="156"/>
      <c r="H142" s="74"/>
      <c r="I142" s="74"/>
      <c r="J142" s="113"/>
      <c r="K142" s="100">
        <f t="shared" si="72"/>
        <v>0</v>
      </c>
      <c r="L142" s="95"/>
      <c r="M142" s="95">
        <f t="shared" si="73"/>
        <v>0</v>
      </c>
      <c r="N142" s="64"/>
      <c r="O142" s="64"/>
      <c r="P142" s="95">
        <f t="shared" si="74"/>
        <v>0</v>
      </c>
      <c r="Q142" s="64"/>
      <c r="R142" s="95">
        <f t="shared" si="75"/>
        <v>0</v>
      </c>
      <c r="S142" s="64"/>
    </row>
    <row r="143" spans="1:19" x14ac:dyDescent="0.2">
      <c r="A143" s="1">
        <v>0</v>
      </c>
      <c r="B143" s="144">
        <v>0</v>
      </c>
      <c r="C143" s="137"/>
      <c r="D143" s="141"/>
      <c r="E143" s="154"/>
      <c r="F143" s="155"/>
      <c r="G143" s="156"/>
      <c r="H143" s="74"/>
      <c r="I143" s="74"/>
      <c r="J143" s="113"/>
      <c r="K143" s="100">
        <f t="shared" si="72"/>
        <v>0</v>
      </c>
      <c r="L143" s="95"/>
      <c r="M143" s="95">
        <f t="shared" si="73"/>
        <v>0</v>
      </c>
      <c r="N143" s="64"/>
      <c r="O143" s="64"/>
      <c r="P143" s="95">
        <f t="shared" si="74"/>
        <v>0</v>
      </c>
      <c r="Q143" s="64"/>
      <c r="R143" s="95">
        <f t="shared" si="75"/>
        <v>0</v>
      </c>
      <c r="S143" s="64"/>
    </row>
    <row r="144" spans="1:19" x14ac:dyDescent="0.2">
      <c r="A144" s="1">
        <v>0</v>
      </c>
      <c r="B144" s="144">
        <v>0</v>
      </c>
      <c r="C144" s="137"/>
      <c r="D144" s="141"/>
      <c r="E144" s="154"/>
      <c r="F144" s="155"/>
      <c r="G144" s="156"/>
      <c r="H144" s="74"/>
      <c r="I144" s="74"/>
      <c r="J144" s="113"/>
      <c r="K144" s="100">
        <f t="shared" si="72"/>
        <v>0</v>
      </c>
      <c r="L144" s="95"/>
      <c r="M144" s="95">
        <f t="shared" si="73"/>
        <v>0</v>
      </c>
      <c r="N144" s="64"/>
      <c r="O144" s="64"/>
      <c r="P144" s="95">
        <f t="shared" si="74"/>
        <v>0</v>
      </c>
      <c r="Q144" s="64"/>
      <c r="R144" s="95">
        <f t="shared" si="75"/>
        <v>0</v>
      </c>
      <c r="S144" s="64"/>
    </row>
    <row r="145" spans="1:19" x14ac:dyDescent="0.2">
      <c r="A145" s="1">
        <v>0</v>
      </c>
      <c r="B145" s="144">
        <v>0</v>
      </c>
      <c r="C145" s="137"/>
      <c r="D145" s="141"/>
      <c r="E145" s="154"/>
      <c r="F145" s="155"/>
      <c r="G145" s="156"/>
      <c r="H145" s="74"/>
      <c r="I145" s="74"/>
      <c r="J145" s="113"/>
      <c r="K145" s="100">
        <f t="shared" si="72"/>
        <v>0</v>
      </c>
      <c r="L145" s="95"/>
      <c r="M145" s="95">
        <f t="shared" si="73"/>
        <v>0</v>
      </c>
      <c r="N145" s="64"/>
      <c r="O145" s="64"/>
      <c r="P145" s="95">
        <f t="shared" si="74"/>
        <v>0</v>
      </c>
      <c r="Q145" s="64"/>
      <c r="R145" s="95">
        <f t="shared" si="75"/>
        <v>0</v>
      </c>
      <c r="S145" s="64"/>
    </row>
    <row r="146" spans="1:19" x14ac:dyDescent="0.2">
      <c r="A146" s="1">
        <v>0</v>
      </c>
      <c r="B146" s="144">
        <v>0</v>
      </c>
      <c r="C146" s="137"/>
      <c r="D146" s="141"/>
      <c r="E146" s="154"/>
      <c r="F146" s="155"/>
      <c r="G146" s="156"/>
      <c r="H146" s="74"/>
      <c r="I146" s="74"/>
      <c r="J146" s="113"/>
      <c r="K146" s="100">
        <f t="shared" si="72"/>
        <v>0</v>
      </c>
      <c r="L146" s="95"/>
      <c r="M146" s="95">
        <f t="shared" si="73"/>
        <v>0</v>
      </c>
      <c r="N146" s="64"/>
      <c r="O146" s="64"/>
      <c r="P146" s="95">
        <f t="shared" si="74"/>
        <v>0</v>
      </c>
      <c r="Q146" s="64"/>
      <c r="R146" s="95">
        <f t="shared" si="75"/>
        <v>0</v>
      </c>
      <c r="S146" s="64"/>
    </row>
    <row r="147" spans="1:19" x14ac:dyDescent="0.2">
      <c r="A147" s="1">
        <v>0</v>
      </c>
      <c r="B147" s="144">
        <v>0</v>
      </c>
      <c r="C147" s="137"/>
      <c r="D147" s="141"/>
      <c r="E147" s="154"/>
      <c r="F147" s="155"/>
      <c r="G147" s="156"/>
      <c r="H147" s="74"/>
      <c r="I147" s="74"/>
      <c r="J147" s="113"/>
      <c r="K147" s="100">
        <f t="shared" si="72"/>
        <v>0</v>
      </c>
      <c r="L147" s="95"/>
      <c r="M147" s="95">
        <f t="shared" si="73"/>
        <v>0</v>
      </c>
      <c r="N147" s="64"/>
      <c r="O147" s="64"/>
      <c r="P147" s="95">
        <f t="shared" si="74"/>
        <v>0</v>
      </c>
      <c r="Q147" s="64"/>
      <c r="R147" s="95">
        <f t="shared" si="75"/>
        <v>0</v>
      </c>
      <c r="S147" s="64"/>
    </row>
    <row r="148" spans="1:19" x14ac:dyDescent="0.2">
      <c r="A148" s="1">
        <v>0</v>
      </c>
      <c r="B148" s="144">
        <v>0</v>
      </c>
      <c r="C148" s="137"/>
      <c r="D148" s="141"/>
      <c r="E148" s="154"/>
      <c r="F148" s="155"/>
      <c r="G148" s="156"/>
      <c r="H148" s="74"/>
      <c r="I148" s="74"/>
      <c r="J148" s="113"/>
      <c r="K148" s="100">
        <f t="shared" si="72"/>
        <v>0</v>
      </c>
      <c r="L148" s="95"/>
      <c r="M148" s="95">
        <f t="shared" si="73"/>
        <v>0</v>
      </c>
      <c r="N148" s="64"/>
      <c r="O148" s="64"/>
      <c r="P148" s="95">
        <f t="shared" si="74"/>
        <v>0</v>
      </c>
      <c r="Q148" s="64"/>
      <c r="R148" s="95">
        <f t="shared" si="75"/>
        <v>0</v>
      </c>
      <c r="S148" s="64"/>
    </row>
    <row r="149" spans="1:19" x14ac:dyDescent="0.2">
      <c r="A149" s="1">
        <v>0</v>
      </c>
      <c r="B149" s="144">
        <v>0</v>
      </c>
      <c r="C149" s="137"/>
      <c r="D149" s="141"/>
      <c r="E149" s="154"/>
      <c r="F149" s="155"/>
      <c r="G149" s="156"/>
      <c r="H149" s="74"/>
      <c r="I149" s="74"/>
      <c r="J149" s="113"/>
      <c r="K149" s="100">
        <f t="shared" si="72"/>
        <v>0</v>
      </c>
      <c r="L149" s="95"/>
      <c r="M149" s="95">
        <f t="shared" si="73"/>
        <v>0</v>
      </c>
      <c r="N149" s="64"/>
      <c r="O149" s="64"/>
      <c r="P149" s="95">
        <f t="shared" si="74"/>
        <v>0</v>
      </c>
      <c r="Q149" s="64"/>
      <c r="R149" s="95">
        <f t="shared" si="75"/>
        <v>0</v>
      </c>
      <c r="S149" s="64"/>
    </row>
    <row r="150" spans="1:19" x14ac:dyDescent="0.2">
      <c r="A150" s="1">
        <v>0</v>
      </c>
      <c r="B150" s="144">
        <v>0</v>
      </c>
      <c r="C150" s="137"/>
      <c r="D150" s="141"/>
      <c r="E150" s="154"/>
      <c r="F150" s="155"/>
      <c r="G150" s="156"/>
      <c r="H150" s="74"/>
      <c r="I150" s="74"/>
      <c r="J150" s="113"/>
      <c r="K150" s="100">
        <f t="shared" si="72"/>
        <v>0</v>
      </c>
      <c r="L150" s="95"/>
      <c r="M150" s="95">
        <f t="shared" si="73"/>
        <v>0</v>
      </c>
      <c r="N150" s="64"/>
      <c r="O150" s="64"/>
      <c r="P150" s="95">
        <f t="shared" si="74"/>
        <v>0</v>
      </c>
      <c r="Q150" s="64"/>
      <c r="R150" s="95">
        <f t="shared" si="75"/>
        <v>0</v>
      </c>
      <c r="S150" s="64"/>
    </row>
    <row r="151" spans="1:19" x14ac:dyDescent="0.2">
      <c r="A151" s="1">
        <v>0</v>
      </c>
      <c r="B151" s="144">
        <v>0</v>
      </c>
      <c r="C151" s="137"/>
      <c r="D151" s="141"/>
      <c r="E151" s="154"/>
      <c r="F151" s="155"/>
      <c r="G151" s="156"/>
      <c r="H151" s="74"/>
      <c r="I151" s="74"/>
      <c r="J151" s="113"/>
      <c r="K151" s="100">
        <f t="shared" si="72"/>
        <v>0</v>
      </c>
      <c r="L151" s="95"/>
      <c r="M151" s="95">
        <f t="shared" si="73"/>
        <v>0</v>
      </c>
      <c r="N151" s="64"/>
      <c r="O151" s="64"/>
      <c r="P151" s="95">
        <f t="shared" si="74"/>
        <v>0</v>
      </c>
      <c r="Q151" s="64"/>
      <c r="R151" s="95">
        <f t="shared" si="75"/>
        <v>0</v>
      </c>
      <c r="S151" s="64"/>
    </row>
    <row r="152" spans="1:19" x14ac:dyDescent="0.2">
      <c r="A152" s="1">
        <v>0</v>
      </c>
      <c r="B152" s="144">
        <v>0</v>
      </c>
      <c r="C152" s="137"/>
      <c r="D152" s="141"/>
      <c r="E152" s="154"/>
      <c r="F152" s="155"/>
      <c r="G152" s="156"/>
      <c r="H152" s="74"/>
      <c r="I152" s="74"/>
      <c r="J152" s="113"/>
      <c r="K152" s="100">
        <f t="shared" si="72"/>
        <v>0</v>
      </c>
      <c r="L152" s="95"/>
      <c r="M152" s="95">
        <f t="shared" si="73"/>
        <v>0</v>
      </c>
      <c r="N152" s="64"/>
      <c r="O152" s="64"/>
      <c r="P152" s="95">
        <f t="shared" si="74"/>
        <v>0</v>
      </c>
      <c r="Q152" s="64"/>
      <c r="R152" s="95">
        <f t="shared" si="75"/>
        <v>0</v>
      </c>
      <c r="S152" s="64"/>
    </row>
    <row r="153" spans="1:19" x14ac:dyDescent="0.2">
      <c r="A153" s="1">
        <v>0</v>
      </c>
      <c r="B153" s="144">
        <v>0</v>
      </c>
      <c r="C153" s="137"/>
      <c r="D153" s="141"/>
      <c r="E153" s="154"/>
      <c r="F153" s="155"/>
      <c r="G153" s="156"/>
      <c r="H153" s="74"/>
      <c r="I153" s="74"/>
      <c r="J153" s="113"/>
      <c r="K153" s="100">
        <f t="shared" si="72"/>
        <v>0</v>
      </c>
      <c r="L153" s="95"/>
      <c r="M153" s="95">
        <f t="shared" si="73"/>
        <v>0</v>
      </c>
      <c r="N153" s="64"/>
      <c r="O153" s="64"/>
      <c r="P153" s="95">
        <f t="shared" si="74"/>
        <v>0</v>
      </c>
      <c r="Q153" s="64"/>
      <c r="R153" s="95">
        <f t="shared" si="75"/>
        <v>0</v>
      </c>
      <c r="S153" s="64"/>
    </row>
    <row r="154" spans="1:19" x14ac:dyDescent="0.2">
      <c r="A154" s="1">
        <v>0</v>
      </c>
      <c r="B154" s="144">
        <v>0</v>
      </c>
      <c r="C154" s="137"/>
      <c r="D154" s="141"/>
      <c r="E154" s="154"/>
      <c r="F154" s="155"/>
      <c r="G154" s="156"/>
      <c r="H154" s="74"/>
      <c r="I154" s="74"/>
      <c r="J154" s="113"/>
      <c r="K154" s="100">
        <f t="shared" si="72"/>
        <v>0</v>
      </c>
      <c r="L154" s="95"/>
      <c r="M154" s="95">
        <f t="shared" si="73"/>
        <v>0</v>
      </c>
      <c r="N154" s="64"/>
      <c r="O154" s="64"/>
      <c r="P154" s="95">
        <f t="shared" si="74"/>
        <v>0</v>
      </c>
      <c r="Q154" s="64"/>
      <c r="R154" s="95">
        <f t="shared" si="75"/>
        <v>0</v>
      </c>
      <c r="S154" s="64"/>
    </row>
    <row r="155" spans="1:19" x14ac:dyDescent="0.2">
      <c r="A155" s="1">
        <v>0</v>
      </c>
      <c r="B155" s="144">
        <v>0</v>
      </c>
      <c r="C155" s="137"/>
      <c r="D155" s="141"/>
      <c r="E155" s="154"/>
      <c r="F155" s="155"/>
      <c r="G155" s="156"/>
      <c r="H155" s="74"/>
      <c r="I155" s="74"/>
      <c r="J155" s="113"/>
      <c r="K155" s="100">
        <f t="shared" si="72"/>
        <v>0</v>
      </c>
      <c r="L155" s="95"/>
      <c r="M155" s="95">
        <f t="shared" si="73"/>
        <v>0</v>
      </c>
      <c r="N155" s="64"/>
      <c r="O155" s="64"/>
      <c r="P155" s="95">
        <f t="shared" si="74"/>
        <v>0</v>
      </c>
      <c r="Q155" s="64"/>
      <c r="R155" s="95">
        <f t="shared" si="75"/>
        <v>0</v>
      </c>
      <c r="S155" s="64"/>
    </row>
    <row r="156" spans="1:19" x14ac:dyDescent="0.2">
      <c r="A156" s="1">
        <v>0</v>
      </c>
      <c r="B156" s="144">
        <v>0</v>
      </c>
      <c r="C156" s="137"/>
      <c r="D156" s="141"/>
      <c r="E156" s="154"/>
      <c r="F156" s="155"/>
      <c r="G156" s="156"/>
      <c r="H156" s="74"/>
      <c r="I156" s="74"/>
      <c r="J156" s="113"/>
      <c r="K156" s="100">
        <f t="shared" si="72"/>
        <v>0</v>
      </c>
      <c r="L156" s="95"/>
      <c r="M156" s="95">
        <f t="shared" si="73"/>
        <v>0</v>
      </c>
      <c r="N156" s="64"/>
      <c r="O156" s="64"/>
      <c r="P156" s="95">
        <f t="shared" si="74"/>
        <v>0</v>
      </c>
      <c r="Q156" s="64"/>
      <c r="R156" s="95">
        <f t="shared" si="75"/>
        <v>0</v>
      </c>
      <c r="S156" s="64"/>
    </row>
    <row r="158" spans="1:19" x14ac:dyDescent="0.2">
      <c r="B158" s="6" t="s">
        <v>579</v>
      </c>
      <c r="H158" s="92">
        <f>SUM(H29:H115)</f>
        <v>0</v>
      </c>
      <c r="I158" s="92">
        <f>SUM(I29:I156)</f>
        <v>822.68999999999983</v>
      </c>
      <c r="J158" s="184">
        <f>SUM(J29:J156)</f>
        <v>3819.91</v>
      </c>
      <c r="K158" s="184">
        <f>SUM(K29:K156)</f>
        <v>6744.2371999999987</v>
      </c>
      <c r="L158" s="92">
        <f t="shared" ref="L158:S158" si="76">SUM(L29:L156)</f>
        <v>0</v>
      </c>
      <c r="M158" s="186">
        <f>SUM(M29:M156)</f>
        <v>1062.1071999999999</v>
      </c>
      <c r="N158" s="92">
        <f t="shared" si="76"/>
        <v>0</v>
      </c>
      <c r="O158" s="92">
        <f>SUM(O29:O156)</f>
        <v>0</v>
      </c>
      <c r="P158" s="92">
        <f t="shared" si="76"/>
        <v>106.94970000000002</v>
      </c>
      <c r="Q158" s="92">
        <f t="shared" si="76"/>
        <v>0.18000000000000002</v>
      </c>
      <c r="R158" s="186">
        <f>SUM(R29:R156)</f>
        <v>954.97749999999996</v>
      </c>
      <c r="S158" s="92">
        <f t="shared" si="76"/>
        <v>0</v>
      </c>
    </row>
    <row r="1048576" spans="4:4" x14ac:dyDescent="0.2">
      <c r="D1048576" s="141"/>
    </row>
  </sheetData>
  <mergeCells count="39"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  <mergeCell ref="S23:S27"/>
    <mergeCell ref="G21:G27"/>
    <mergeCell ref="H21:J25"/>
    <mergeCell ref="K21:K27"/>
    <mergeCell ref="M21:M27"/>
    <mergeCell ref="H26:H27"/>
    <mergeCell ref="J26:J27"/>
    <mergeCell ref="I26:I27"/>
    <mergeCell ref="N23:N27"/>
    <mergeCell ref="O23:O27"/>
    <mergeCell ref="P23:P27"/>
    <mergeCell ref="Q23:Q27"/>
    <mergeCell ref="R23:R27"/>
    <mergeCell ref="A1:F2"/>
    <mergeCell ref="C3:F3"/>
    <mergeCell ref="C4:F5"/>
    <mergeCell ref="C6:F6"/>
    <mergeCell ref="C7:F8"/>
    <mergeCell ref="B115:F115"/>
    <mergeCell ref="B139:F139"/>
    <mergeCell ref="E28:F28"/>
    <mergeCell ref="B19:B27"/>
    <mergeCell ref="C19:D20"/>
    <mergeCell ref="C21:C27"/>
    <mergeCell ref="D21:D27"/>
    <mergeCell ref="E21:F27"/>
  </mergeCells>
  <phoneticPr fontId="23" type="noConversion"/>
  <pageMargins left="0.25" right="0.25" top="0.75" bottom="0.75" header="0.3" footer="0.3"/>
  <pageSetup paperSize="9" scale="27" orientation="landscape" r:id="rId1"/>
  <rowBreaks count="2" manualBreakCount="2">
    <brk id="126" max="23" man="1"/>
    <brk id="1048446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71" t="str">
        <f>NASLOV!B5</f>
        <v>Markus Renz</v>
      </c>
      <c r="B1" s="271"/>
      <c r="C1" s="271"/>
      <c r="D1" s="271"/>
      <c r="E1" s="271"/>
      <c r="F1" s="271"/>
    </row>
    <row r="2" spans="1:18" x14ac:dyDescent="0.2">
      <c r="A2" s="271"/>
      <c r="B2" s="271"/>
      <c r="C2" s="271"/>
      <c r="D2" s="271"/>
      <c r="E2" s="271"/>
      <c r="F2" s="271"/>
    </row>
    <row r="3" spans="1:18" x14ac:dyDescent="0.2">
      <c r="C3" s="269" t="str">
        <f>INDEX(PRIJEVODI!B:D,MATCH("URA75-001",PRIJEVODI!A:A,0),MATCH(NASLOV!$B$2,PRIJEVODI!$B$1:$D$1,0))</f>
        <v>STEUERPFLICHTIGER: NAME / NACHNAME</v>
      </c>
      <c r="D3" s="269"/>
      <c r="E3" s="269"/>
      <c r="F3" s="269"/>
      <c r="Q3" s="274"/>
      <c r="R3" s="274"/>
    </row>
    <row r="4" spans="1:18" x14ac:dyDescent="0.2">
      <c r="C4" s="270" t="str">
        <f>NASLOV!B7</f>
        <v>Am Sonnblick 6, Lichtenau</v>
      </c>
      <c r="D4" s="270"/>
      <c r="E4" s="270"/>
      <c r="F4" s="270"/>
    </row>
    <row r="5" spans="1:18" x14ac:dyDescent="0.2">
      <c r="C5" s="270"/>
      <c r="D5" s="270"/>
      <c r="E5" s="270"/>
      <c r="F5" s="270"/>
    </row>
    <row r="6" spans="1:18" x14ac:dyDescent="0.2">
      <c r="C6" s="269" t="str">
        <f>INDEX(PRIJEVODI!B:D,MATCH("URA75-002",PRIJEVODI!A:A,0),MATCH(NASLOV!$B$2,PRIJEVODI!$B$1:$D$1,0))</f>
        <v>ADRESSE: ORT, STRASSE UND HAUSNUMMER</v>
      </c>
      <c r="D6" s="269"/>
      <c r="E6" s="269"/>
      <c r="F6" s="269"/>
    </row>
    <row r="7" spans="1:18" x14ac:dyDescent="0.2">
      <c r="C7" s="272"/>
      <c r="D7" s="272"/>
      <c r="E7" s="272"/>
      <c r="F7" s="272"/>
    </row>
    <row r="8" spans="1:18" x14ac:dyDescent="0.2">
      <c r="C8" s="272"/>
      <c r="D8" s="272"/>
      <c r="E8" s="272"/>
      <c r="F8" s="272"/>
    </row>
    <row r="9" spans="1:18" x14ac:dyDescent="0.2">
      <c r="C9" s="269" t="str">
        <f>INDEX(PRIJEVODI!B:D,MATCH("URA75-003",PRIJEVODI!A:A,0),MATCH(NASLOV!$B$2,PRIJEVODI!$B$1:$D$1,0))</f>
        <v xml:space="preserve">NUMMERIERUNG GEMÄSS DEM NATIONALEN KLASSIFIZIERUNGSSYSTEM  </v>
      </c>
      <c r="D9" s="269"/>
      <c r="E9" s="269"/>
      <c r="F9" s="269"/>
    </row>
    <row r="10" spans="1:18" x14ac:dyDescent="0.2">
      <c r="C10" s="269"/>
      <c r="D10" s="269"/>
      <c r="E10" s="269"/>
      <c r="F10" s="269"/>
    </row>
    <row r="11" spans="1:18" x14ac:dyDescent="0.2">
      <c r="C11" s="270" t="str">
        <f>NASLOV!B9</f>
        <v>HR6411581446</v>
      </c>
      <c r="D11" s="270"/>
      <c r="E11" s="270"/>
      <c r="F11" s="270"/>
    </row>
    <row r="12" spans="1:18" x14ac:dyDescent="0.2">
      <c r="C12" s="270"/>
      <c r="D12" s="270"/>
      <c r="E12" s="270"/>
      <c r="F12" s="270"/>
    </row>
    <row r="13" spans="1:18" x14ac:dyDescent="0.2">
      <c r="C13" s="269" t="str">
        <f>INDEX(PRIJEVODI!B:D,MATCH("URA75-004",PRIJEVODI!A:A,0),MATCH(NASLOV!$B$2,PRIJEVODI!$B$1:$D$1,0))</f>
        <v>STEUERNUMMER (UID)</v>
      </c>
      <c r="D13" s="269"/>
      <c r="E13" s="269"/>
      <c r="F13" s="269"/>
    </row>
    <row r="15" spans="1:18" x14ac:dyDescent="0.2">
      <c r="G15" s="273" t="s">
        <v>576</v>
      </c>
      <c r="H15" s="274"/>
      <c r="I15" s="274"/>
      <c r="J15" s="274"/>
      <c r="K15" s="274"/>
      <c r="L15" s="268"/>
    </row>
    <row r="16" spans="1:18" x14ac:dyDescent="0.2">
      <c r="G16" s="274"/>
      <c r="H16" s="274"/>
      <c r="I16" s="274"/>
      <c r="J16" s="274"/>
      <c r="K16" s="274"/>
      <c r="L16" s="268"/>
      <c r="O16" s="274" t="str">
        <f>INDEX(PRIJEVODI!B:D,MATCH("URA75-006",PRIJEVODI!A:A,0),MATCH(NASLOV!$B$2,PRIJEVODI!$B$1:$D$1,0))</f>
        <v>BETRAG IN KUNA UND LIPA</v>
      </c>
      <c r="P16" s="274"/>
      <c r="Q16" s="274"/>
      <c r="R16" s="274"/>
    </row>
    <row r="19" spans="2:19" ht="12.75" customHeight="1" x14ac:dyDescent="0.2">
      <c r="B19" s="243" t="str">
        <f>INDEX(PRIJEVODI!B:D,MATCH("URA75-007",PRIJEVODI!A:A,0),MATCH(NASLOV!$B$2,PRIJEVODI!$B$1:$D$1,0))</f>
        <v xml:space="preserve">ORDNUNGSNUMMER </v>
      </c>
      <c r="C19" s="246" t="str">
        <f>INDEX(PRIJEVODI!B:D,MATCH("URA75-008",PRIJEVODI!A:A,0),MATCH(NASLOV!$B$2,PRIJEVODI!$B$1:$D$1,0))</f>
        <v>RECHNUNG</v>
      </c>
      <c r="D19" s="247"/>
      <c r="E19" s="298" t="str">
        <f>INDEX(PRIJEVODI!B:D,MATCH("URA75-011",PRIJEVODI!A:A,0),MATCH(NASLOV!$B$2,PRIJEVODI!$B$1:$D$1,0))</f>
        <v>LIEFERANT (ANBIETER VON WAREN UND DIENSTLEISTUNGEN)</v>
      </c>
      <c r="F19" s="299"/>
      <c r="G19" s="299"/>
      <c r="H19" s="299"/>
      <c r="I19" s="299"/>
      <c r="J19" s="299"/>
      <c r="K19" s="299"/>
      <c r="L19" s="299"/>
      <c r="M19" s="296"/>
      <c r="N19" s="246" t="str">
        <f>INDEX(PRIJEVODI!B:D,MATCH("URA75-020",PRIJEVODI!A:A,0),MATCH(NASLOV!$B$2,PRIJEVODI!$B$1:$D$1,0))</f>
        <v>STEUER</v>
      </c>
      <c r="O19" s="277"/>
      <c r="P19" s="277"/>
      <c r="Q19" s="277"/>
      <c r="R19" s="277"/>
      <c r="S19" s="283"/>
    </row>
    <row r="20" spans="2:19" x14ac:dyDescent="0.2">
      <c r="B20" s="244"/>
      <c r="C20" s="248"/>
      <c r="D20" s="249"/>
      <c r="E20" s="286"/>
      <c r="F20" s="300"/>
      <c r="G20" s="300"/>
      <c r="H20" s="300"/>
      <c r="I20" s="300"/>
      <c r="J20" s="300"/>
      <c r="K20" s="300"/>
      <c r="L20" s="300"/>
      <c r="M20" s="301"/>
      <c r="N20" s="279"/>
      <c r="O20" s="280"/>
      <c r="P20" s="280"/>
      <c r="Q20" s="280"/>
      <c r="R20" s="280"/>
      <c r="S20" s="281"/>
    </row>
    <row r="21" spans="2:19" ht="12.75" customHeight="1" x14ac:dyDescent="0.2">
      <c r="B21" s="244"/>
      <c r="C21" s="256" t="str">
        <f>INDEX(PRIJEVODI!B:D,MATCH("URA75-009",PRIJEVODI!A:A,0),MATCH(NASLOV!$B$2,PRIJEVODI!$B$1:$D$1,0))</f>
        <v xml:space="preserve">NUMMER </v>
      </c>
      <c r="D21" s="256" t="str">
        <f>INDEX(PRIJEVODI!B:D,MATCH("URA75-010",PRIJEVODI!A:A,0),MATCH(NASLOV!$B$2,PRIJEVODI!$B$1:$D$1,0))</f>
        <v>DATUM</v>
      </c>
      <c r="E21" s="259" t="str">
        <f>INDEX(PRIJEVODI!B:D,MATCH("URA75-012",PRIJEVODI!A:A,0),MATCH(NASLOV!$B$2,PRIJEVODI!$B$1:$D$1,0))</f>
        <v>TITEL - NAME UND NACHNAME, GESCHÄFTSSITZ / SITZORT</v>
      </c>
      <c r="F21" s="260"/>
      <c r="G21" s="265" t="str">
        <f>INDEX(PRIJEVODI!B:D,MATCH("URA75-013",PRIJEVODI!A:A,0),MATCH(NASLOV!$B$2,PRIJEVODI!$B$1:$D$1,0))</f>
        <v>STEUERNUMMER (UID)</v>
      </c>
      <c r="H21" s="284" t="str">
        <f>INDEX(PRIJEVODI!B:D,MATCH("URA75-014",PRIJEVODI!A:A,0),MATCH(NASLOV!$B$2,PRIJEVODI!$B$1:$D$1,0))</f>
        <v>LIEFERWERT</v>
      </c>
      <c r="I21" s="299"/>
      <c r="J21" s="296"/>
      <c r="K21" s="265" t="str">
        <f>INDEX(PRIJEVODI!B:D,MATCH("URA75-018",PRIJEVODI!A:A,0),MATCH(NASLOV!$B$2,PRIJEVODI!$B$1:$D$1,0))</f>
        <v>GESAMTBETRAG DER RECHNUNG INKLUSIVE MwST.</v>
      </c>
      <c r="L21" s="45"/>
      <c r="M21" s="256" t="str">
        <f>INDEX(PRIJEVODI!B:D,MATCH("URA75-030",PRIJEVODI!A:A,0),MATCH(NASLOV!$B$2,PRIJEVODI!$B$1:$D$1,0))</f>
        <v>TOTAL</v>
      </c>
      <c r="N21" s="282">
        <v>0.05</v>
      </c>
      <c r="O21" s="283"/>
      <c r="P21" s="282">
        <v>0.13</v>
      </c>
      <c r="Q21" s="283"/>
      <c r="R21" s="282">
        <v>0.25</v>
      </c>
      <c r="S21" s="283"/>
    </row>
    <row r="22" spans="2:19" x14ac:dyDescent="0.2">
      <c r="B22" s="244"/>
      <c r="C22" s="257"/>
      <c r="D22" s="257"/>
      <c r="E22" s="261"/>
      <c r="F22" s="262"/>
      <c r="G22" s="266"/>
      <c r="H22" s="285"/>
      <c r="I22" s="302"/>
      <c r="J22" s="303"/>
      <c r="K22" s="266"/>
      <c r="L22" s="46"/>
      <c r="M22" s="257"/>
      <c r="N22" s="279"/>
      <c r="O22" s="281"/>
      <c r="P22" s="279"/>
      <c r="Q22" s="281"/>
      <c r="R22" s="279"/>
      <c r="S22" s="281"/>
    </row>
    <row r="23" spans="2:19" x14ac:dyDescent="0.2">
      <c r="B23" s="244"/>
      <c r="C23" s="257"/>
      <c r="D23" s="257"/>
      <c r="E23" s="261"/>
      <c r="F23" s="262"/>
      <c r="G23" s="266"/>
      <c r="H23" s="285"/>
      <c r="I23" s="302"/>
      <c r="J23" s="303"/>
      <c r="K23" s="266"/>
      <c r="L23" s="46"/>
      <c r="M23" s="257"/>
      <c r="N23" s="265" t="str">
        <f>INDEX(PRIJEVODI!B:D,MATCH("URA75-022",PRIJEVODI!A:A,0),MATCH(NASLOV!$B$2,PRIJEVODI!$B$1:$D$1,0))</f>
        <v>ABZUGSFÄHIG</v>
      </c>
      <c r="O23" s="265" t="str">
        <f>INDEX(PRIJEVODI!B:D,MATCH("URA75-023",PRIJEVODI!A:A,0),MATCH(NASLOV!$B$2,PRIJEVODI!$B$1:$D$1,0))</f>
        <v>NICHT ABZUGSFÄHIG</v>
      </c>
      <c r="P23" s="265" t="str">
        <f>INDEX(PRIJEVODI!B:D,MATCH("URA75-025",PRIJEVODI!A:A,0),MATCH(NASLOV!$B$2,PRIJEVODI!$B$1:$D$1,0))</f>
        <v>ABZUGSFÄHIG</v>
      </c>
      <c r="Q23" s="265" t="str">
        <f>INDEX(PRIJEVODI!B:D,MATCH("URA75-026",PRIJEVODI!A:A,0),MATCH(NASLOV!$B$2,PRIJEVODI!$B$1:$D$1,0))</f>
        <v>NICHT ABZUGSFÄHIG</v>
      </c>
      <c r="R23" s="265" t="str">
        <f>INDEX(PRIJEVODI!B:D,MATCH("URA75-028",PRIJEVODI!A:A,0),MATCH(NASLOV!$B$2,PRIJEVODI!$B$1:$D$1,0))</f>
        <v>ABZUGSFÄHIG</v>
      </c>
      <c r="S23" s="265" t="str">
        <f>INDEX(PRIJEVODI!B:D,MATCH("URA75-029",PRIJEVODI!A:A,0),MATCH(NASLOV!$B$2,PRIJEVODI!$B$1:$D$1,0))</f>
        <v>NICHT ABZUGSFÄHIG</v>
      </c>
    </row>
    <row r="24" spans="2:19" x14ac:dyDescent="0.2">
      <c r="B24" s="244"/>
      <c r="C24" s="257"/>
      <c r="D24" s="257"/>
      <c r="E24" s="261"/>
      <c r="F24" s="262"/>
      <c r="G24" s="266"/>
      <c r="H24" s="285"/>
      <c r="I24" s="302"/>
      <c r="J24" s="303"/>
      <c r="K24" s="266"/>
      <c r="L24" s="48" t="str">
        <f>INDEX(PRIJEVODI!B:D,MATCH("URA75-019",PRIJEVODI!A:A,0),MATCH(NASLOV!$B$2,PRIJEVODI!$B$1:$D$1,0))</f>
        <v>STEUERBEFREIUNGEN / ABZUGSFÄHIG</v>
      </c>
      <c r="M24" s="257"/>
      <c r="N24" s="266"/>
      <c r="O24" s="266"/>
      <c r="P24" s="266"/>
      <c r="Q24" s="266"/>
      <c r="R24" s="266"/>
      <c r="S24" s="266"/>
    </row>
    <row r="25" spans="2:19" x14ac:dyDescent="0.2">
      <c r="B25" s="244"/>
      <c r="C25" s="257"/>
      <c r="D25" s="257"/>
      <c r="E25" s="261"/>
      <c r="F25" s="262"/>
      <c r="G25" s="266"/>
      <c r="H25" s="286"/>
      <c r="I25" s="300"/>
      <c r="J25" s="301"/>
      <c r="K25" s="266"/>
      <c r="L25" s="46"/>
      <c r="M25" s="257"/>
      <c r="N25" s="266"/>
      <c r="O25" s="266"/>
      <c r="P25" s="266"/>
      <c r="Q25" s="266"/>
      <c r="R25" s="266"/>
      <c r="S25" s="266"/>
    </row>
    <row r="26" spans="2:19" x14ac:dyDescent="0.2">
      <c r="B26" s="244"/>
      <c r="C26" s="257"/>
      <c r="D26" s="257"/>
      <c r="E26" s="261"/>
      <c r="F26" s="262"/>
      <c r="G26" s="266"/>
      <c r="H26" s="297">
        <v>0.05</v>
      </c>
      <c r="I26" s="297">
        <v>0.1</v>
      </c>
      <c r="J26" s="297">
        <v>0.25</v>
      </c>
      <c r="K26" s="266"/>
      <c r="L26" s="46"/>
      <c r="M26" s="257"/>
      <c r="N26" s="266"/>
      <c r="O26" s="266"/>
      <c r="P26" s="266"/>
      <c r="Q26" s="266"/>
      <c r="R26" s="266"/>
      <c r="S26" s="266"/>
    </row>
    <row r="27" spans="2:19" x14ac:dyDescent="0.2">
      <c r="B27" s="245"/>
      <c r="C27" s="258"/>
      <c r="D27" s="258"/>
      <c r="E27" s="263"/>
      <c r="F27" s="264"/>
      <c r="G27" s="267"/>
      <c r="H27" s="258"/>
      <c r="I27" s="258"/>
      <c r="J27" s="258"/>
      <c r="K27" s="267"/>
      <c r="L27" s="47"/>
      <c r="M27" s="258"/>
      <c r="N27" s="267"/>
      <c r="O27" s="267"/>
      <c r="P27" s="267"/>
      <c r="Q27" s="267"/>
      <c r="R27" s="267"/>
      <c r="S27" s="267"/>
    </row>
    <row r="28" spans="2:19" x14ac:dyDescent="0.2">
      <c r="B28" s="33">
        <v>1</v>
      </c>
      <c r="C28" s="33">
        <v>2</v>
      </c>
      <c r="D28" s="33">
        <v>3</v>
      </c>
      <c r="E28" s="284">
        <v>4</v>
      </c>
      <c r="F28" s="296"/>
      <c r="G28" s="33">
        <v>5</v>
      </c>
      <c r="H28" s="33">
        <v>6</v>
      </c>
      <c r="I28" s="33">
        <v>7</v>
      </c>
      <c r="J28" s="3">
        <v>8</v>
      </c>
      <c r="K28" s="33">
        <v>9</v>
      </c>
      <c r="L28" s="33"/>
      <c r="M28" s="33" t="s">
        <v>0</v>
      </c>
      <c r="N28" s="33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2:19" x14ac:dyDescent="0.2">
      <c r="B29" s="74"/>
      <c r="C29" s="69"/>
      <c r="D29" s="70"/>
      <c r="E29" s="71"/>
      <c r="F29" s="2"/>
      <c r="G29" s="71"/>
      <c r="H29" s="75"/>
      <c r="I29" s="75"/>
      <c r="J29" s="2"/>
      <c r="K29" s="76"/>
      <c r="L29" s="73"/>
      <c r="M29" s="77"/>
      <c r="N29" s="2"/>
      <c r="O29" s="2"/>
      <c r="P29" s="2"/>
      <c r="Q29" s="2"/>
      <c r="R29" s="34"/>
      <c r="S29" s="2"/>
    </row>
    <row r="30" spans="2:19" x14ac:dyDescent="0.2">
      <c r="B30" s="74"/>
      <c r="C30" s="69"/>
      <c r="D30" s="70"/>
      <c r="E30" s="71"/>
      <c r="F30" s="2"/>
      <c r="G30" s="71"/>
      <c r="H30" s="75"/>
      <c r="I30" s="75"/>
      <c r="J30" s="2"/>
      <c r="K30" s="76"/>
      <c r="L30" s="73"/>
      <c r="M30" s="77"/>
      <c r="N30" s="2"/>
      <c r="O30" s="2"/>
      <c r="P30" s="2"/>
      <c r="Q30" s="2"/>
      <c r="R30" s="34"/>
      <c r="S30" s="2"/>
    </row>
    <row r="31" spans="2:19" x14ac:dyDescent="0.2">
      <c r="B31" s="74"/>
      <c r="C31" s="69"/>
      <c r="D31" s="70"/>
      <c r="E31" s="71"/>
      <c r="F31" s="2"/>
      <c r="G31" s="71"/>
      <c r="H31" s="75"/>
      <c r="I31" s="75"/>
      <c r="J31" s="2"/>
      <c r="K31" s="76"/>
      <c r="L31" s="73"/>
      <c r="M31" s="77"/>
      <c r="N31" s="2"/>
      <c r="O31" s="2"/>
      <c r="P31" s="2"/>
      <c r="Q31" s="2"/>
      <c r="R31" s="34"/>
      <c r="S31" s="2"/>
    </row>
    <row r="32" spans="2:19" x14ac:dyDescent="0.2">
      <c r="B32" s="74"/>
      <c r="C32" s="69"/>
      <c r="D32" s="70"/>
      <c r="E32" s="71"/>
      <c r="F32" s="2"/>
      <c r="G32" s="71"/>
      <c r="H32" s="75"/>
      <c r="I32" s="75"/>
      <c r="J32" s="2"/>
      <c r="K32" s="76"/>
      <c r="L32" s="73"/>
      <c r="M32" s="77"/>
      <c r="N32" s="2"/>
      <c r="O32" s="2"/>
      <c r="P32" s="2"/>
      <c r="Q32" s="2"/>
      <c r="R32" s="34"/>
      <c r="S32" s="2"/>
    </row>
    <row r="33" spans="2:19" x14ac:dyDescent="0.2">
      <c r="B33" s="74"/>
      <c r="C33" s="69"/>
      <c r="D33" s="70"/>
      <c r="E33" s="71"/>
      <c r="F33" s="2"/>
      <c r="G33" s="71"/>
      <c r="H33" s="75"/>
      <c r="I33" s="75"/>
      <c r="J33" s="2"/>
      <c r="K33" s="76"/>
      <c r="L33" s="73"/>
      <c r="M33" s="77"/>
      <c r="N33" s="2"/>
      <c r="O33" s="2"/>
      <c r="P33" s="2"/>
      <c r="Q33" s="2"/>
      <c r="R33" s="34"/>
      <c r="S33" s="2"/>
    </row>
    <row r="34" spans="2:19" x14ac:dyDescent="0.2">
      <c r="B34" s="74"/>
      <c r="C34" s="69"/>
      <c r="D34" s="70"/>
      <c r="E34" s="71"/>
      <c r="F34" s="2"/>
      <c r="G34" s="71"/>
      <c r="H34" s="75"/>
      <c r="I34" s="75"/>
      <c r="J34" s="2"/>
      <c r="K34" s="76"/>
      <c r="L34" s="73"/>
      <c r="M34" s="77"/>
      <c r="N34" s="2"/>
      <c r="O34" s="2"/>
      <c r="P34" s="2"/>
      <c r="Q34" s="2"/>
      <c r="R34" s="34"/>
      <c r="S34" s="2"/>
    </row>
    <row r="35" spans="2:19" x14ac:dyDescent="0.2">
      <c r="B35" s="74"/>
      <c r="C35" s="69"/>
      <c r="D35" s="70"/>
      <c r="E35" s="71"/>
      <c r="F35" s="2"/>
      <c r="G35" s="71"/>
      <c r="H35" s="75"/>
      <c r="I35" s="75"/>
      <c r="J35" s="2"/>
      <c r="K35" s="76"/>
      <c r="L35" s="73"/>
      <c r="M35" s="77"/>
      <c r="N35" s="2"/>
      <c r="O35" s="2"/>
      <c r="P35" s="2"/>
      <c r="Q35" s="2"/>
      <c r="R35" s="34"/>
      <c r="S35" s="2"/>
    </row>
    <row r="36" spans="2:19" x14ac:dyDescent="0.2">
      <c r="B36" s="74"/>
      <c r="C36" s="69"/>
      <c r="D36" s="70"/>
      <c r="E36" s="71"/>
      <c r="F36" s="2"/>
      <c r="G36" s="71"/>
      <c r="H36" s="75"/>
      <c r="I36" s="75"/>
      <c r="J36" s="2"/>
      <c r="K36" s="76"/>
      <c r="L36" s="73"/>
      <c r="M36" s="77"/>
      <c r="N36" s="2"/>
      <c r="O36" s="2"/>
      <c r="P36" s="2"/>
      <c r="Q36" s="2"/>
      <c r="R36" s="34"/>
      <c r="S36" s="2"/>
    </row>
    <row r="37" spans="2:19" x14ac:dyDescent="0.2">
      <c r="K37" s="35">
        <f>SUM(K29:K36)</f>
        <v>0</v>
      </c>
    </row>
  </sheetData>
  <mergeCells count="37"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H73"/>
  <sheetViews>
    <sheetView view="pageBreakPreview" topLeftCell="A31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38"/>
    </row>
    <row r="4" spans="2:4" ht="13.5" thickBot="1" x14ac:dyDescent="0.25"/>
    <row r="5" spans="2:4" x14ac:dyDescent="0.2">
      <c r="B5" s="311" t="str">
        <f>INDEX(PRIJEVODI!B:D,MATCH("PDV-002",PRIJEVODI!A:A,0),MATCH(NASLOV!$B$2,PRIJEVODI!$B$1:$D$1,0))</f>
        <v>STEUERPFLICHTIGER (VOR- /NACHNAME UND ADRESSE: Ort, Strasse und Hausnummer)</v>
      </c>
      <c r="C5" s="320" t="str">
        <f>INDEX(PRIJEVODI!B:D,MATCH("PDV-003",PRIJEVODI!A:A,0),MATCH(NASLOV!$B$2,PRIJEVODI!$B$1:$D$1,0))</f>
        <v>STEUERLICHER VERTRETER
 (VOR- /NACHNAME UND ADRESSE:Ort, Strasse und Hausnummer)</v>
      </c>
      <c r="D5" s="317" t="str">
        <f>INDEX(PRIJEVODI!B:D,MATCH("PDV-004",PRIJEVODI!A:A,0),MATCH(NASLOV!$B$2,PRIJEVODI!$B$1:$D$1,0))</f>
        <v>ZUSTÄNDIGES FINANZAMT</v>
      </c>
    </row>
    <row r="6" spans="2:4" x14ac:dyDescent="0.2">
      <c r="B6" s="312"/>
      <c r="C6" s="321"/>
      <c r="D6" s="318"/>
    </row>
    <row r="7" spans="2:4" x14ac:dyDescent="0.2">
      <c r="B7" s="313"/>
      <c r="C7" s="322"/>
      <c r="D7" s="319"/>
    </row>
    <row r="8" spans="2:4" x14ac:dyDescent="0.2">
      <c r="B8" s="314" t="str">
        <f>+NASLOV!B5</f>
        <v>Markus Renz</v>
      </c>
      <c r="C8" s="323"/>
      <c r="D8" s="326" t="str">
        <f>NASLOV!B15</f>
        <v>Zagreb, Odjel za strane porezne obveznike</v>
      </c>
    </row>
    <row r="9" spans="2:4" x14ac:dyDescent="0.2">
      <c r="B9" s="315"/>
      <c r="C9" s="324"/>
      <c r="D9" s="327"/>
    </row>
    <row r="10" spans="2:4" ht="24.6" customHeight="1" x14ac:dyDescent="0.2">
      <c r="B10" s="316"/>
      <c r="C10" s="325"/>
      <c r="D10" s="308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305" t="str">
        <f>INDEX(PRIJEVODI!B:D,MATCH("PDV-005",PRIJEVODI!A:A,0),MATCH(NASLOV!$B$2,PRIJEVODI!$B$1:$D$1,0))</f>
        <v>KLASSIFIKATION GEMÄSS NOMENKLATUR
(TÄTIGKEITS-KENNZIFFER)</v>
      </c>
      <c r="C11" s="265" t="str">
        <f>INDEX(PRIJEVODI!B:D,MATCH("PDV-006",PRIJEVODI!A:A,0),MATCH(NASLOV!$B$2,PRIJEVODI!$B$1:$D$1,0))</f>
        <v>STEUERNUMMER</v>
      </c>
      <c r="D11" s="309"/>
    </row>
    <row r="12" spans="2:4" x14ac:dyDescent="0.2">
      <c r="B12" s="306"/>
      <c r="C12" s="266"/>
      <c r="D12" s="309"/>
    </row>
    <row r="13" spans="2:4" x14ac:dyDescent="0.2">
      <c r="B13" s="307"/>
      <c r="C13" s="267"/>
      <c r="D13" s="309"/>
    </row>
    <row r="14" spans="2:4" ht="13.5" thickBot="1" x14ac:dyDescent="0.25">
      <c r="B14" s="49" t="str">
        <f>+NASLOV!B9</f>
        <v>HR6411581446</v>
      </c>
      <c r="C14" s="13"/>
      <c r="D14" s="310"/>
    </row>
    <row r="15" spans="2:4" ht="45" customHeight="1" thickBot="1" x14ac:dyDescent="0.25">
      <c r="B15" s="11" t="str">
        <f>INDEX(PRIJEVODI!B:D,MATCH("PDV-008",PRIJEVODI!A:A,0),MATCH(NASLOV!$B$2,PRIJEVODI!$B$1:$D$1,0))</f>
        <v>BESCHREIBUNG</v>
      </c>
      <c r="C15" s="12" t="str">
        <f>INDEX(PRIJEVODI!B:D,MATCH("PDV-009",PRIJEVODI!A:A,0),MATCH(NASLOV!$B$2,PRIJEVODI!$B$1:$D$1,0))</f>
        <v>Lieferwert
(Betrag in Kuna und Lipa)</v>
      </c>
      <c r="D15" s="52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4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3" t="e">
        <f>C17+C28</f>
        <v>#REF!</v>
      </c>
      <c r="D16" s="53" t="s">
        <v>6</v>
      </c>
    </row>
    <row r="17" spans="2:5" ht="25.5" x14ac:dyDescent="0.2">
      <c r="B17" s="15" t="str">
        <f>INDEX(PRIJEVODI!B:D,MATCH("PDV-012",PRIJEVODI!A:A,0),MATCH(NASLOV!$B$2,PRIJEVODI!$B$1:$D$1,0))</f>
        <v>I. NICHT STEUERBARE UND BEFREITE TRANSAKTIONEN - INSGESAMT (1+2+3+4+5+6+7+8+9+10)</v>
      </c>
      <c r="C17" s="24">
        <f>SUM(C18:C27)</f>
        <v>0</v>
      </c>
      <c r="D17" s="53" t="s">
        <v>6</v>
      </c>
    </row>
    <row r="18" spans="2:5" ht="37.5" customHeight="1" x14ac:dyDescent="0.2">
      <c r="B18" s="27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6">
        <v>0</v>
      </c>
      <c r="D18" s="53" t="s">
        <v>6</v>
      </c>
    </row>
    <row r="19" spans="2:5" x14ac:dyDescent="0.2">
      <c r="B19" s="7" t="str">
        <f>INDEX(PRIJEVODI!B:D,MATCH("PDV-014",PRIJEVODI!A:A,0),MATCH(NASLOV!$B$2,PRIJEVODI!$B$1:$D$1,0))</f>
        <v>2.   LIEFERUNGEN VON GÜTERN IN ANDERE MITGLIEDSTAATEN</v>
      </c>
      <c r="C19" s="26">
        <v>0</v>
      </c>
      <c r="D19" s="53" t="s">
        <v>6</v>
      </c>
    </row>
    <row r="20" spans="2:5" x14ac:dyDescent="0.2">
      <c r="B20" s="8" t="str">
        <f>INDEX(PRIJEVODI!B:D,MATCH("PDV-015",PRIJEVODI!A:A,0),MATCH(NASLOV!$B$2,PRIJEVODI!$B$1:$D$1,0))</f>
        <v>3.   LIEFERUNGEN VON GÜTERN INNERHALB DER EU</v>
      </c>
      <c r="C20" s="26">
        <v>0</v>
      </c>
      <c r="D20" s="53" t="s">
        <v>6</v>
      </c>
      <c r="E20" s="28"/>
    </row>
    <row r="21" spans="2:5" x14ac:dyDescent="0.2">
      <c r="B21" s="8" t="str">
        <f>INDEX(PRIJEVODI!B:D,MATCH("PDV-016",PRIJEVODI!A:A,0),MATCH(NASLOV!$B$2,PRIJEVODI!$B$1:$D$1,0))</f>
        <v>4.   ERBRACHTE DIENSTLEISTUNGEN INNERHALB DER EU</v>
      </c>
      <c r="C21" s="26">
        <v>0</v>
      </c>
      <c r="D21" s="53" t="s">
        <v>6</v>
      </c>
    </row>
    <row r="22" spans="2:5" ht="26.45" customHeight="1" x14ac:dyDescent="0.2">
      <c r="B22" s="9" t="str">
        <f>INDEX(PRIJEVODI!B:D,MATCH("PDV-017",PRIJEVODI!A:A,0),MATCH(NASLOV!$B$2,PRIJEVODI!$B$1:$D$1,0))</f>
        <v xml:space="preserve">5.   ERBRACHTE DIENSTLEISTUNGEN AN PERSONEN OHNE SITZ IN KROATIEN       </v>
      </c>
      <c r="C22" s="26">
        <v>0</v>
      </c>
      <c r="D22" s="53" t="s">
        <v>6</v>
      </c>
    </row>
    <row r="23" spans="2:5" ht="27" customHeight="1" x14ac:dyDescent="0.2">
      <c r="B23" s="7" t="str">
        <f>INDEX(PRIJEVODI!B:D,MATCH("PDV-018",PRIJEVODI!A:A,0),MATCH(NASLOV!$B$2,PRIJEVODI!$B$1:$D$1,0))</f>
        <v>6.   MONTAGE UND INSTALLATION VON GÜTERN IN EINEM ANDEREN MITGLIEDSTAAT</v>
      </c>
      <c r="C23" s="26">
        <v>0</v>
      </c>
      <c r="D23" s="53" t="s">
        <v>6</v>
      </c>
    </row>
    <row r="24" spans="2:5" ht="12.75" customHeight="1" x14ac:dyDescent="0.2">
      <c r="B24" s="7" t="str">
        <f>INDEX(PRIJEVODI!B:D,MATCH("PDV-019",PRIJEVODI!A:A,0),MATCH(NASLOV!$B$2,PRIJEVODI!$B$1:$D$1,0))</f>
        <v xml:space="preserve">7.   LIEFERUNGEN VON NEUEN FAHRZEUGEN IN DIE EU </v>
      </c>
      <c r="C24" s="26">
        <v>0</v>
      </c>
      <c r="D24" s="53" t="s">
        <v>6</v>
      </c>
    </row>
    <row r="25" spans="2:5" x14ac:dyDescent="0.2">
      <c r="B25" s="8" t="str">
        <f>INDEX(PRIJEVODI!B:D,MATCH("PDV-020",PRIJEVODI!A:A,0),MATCH(NASLOV!$B$2,PRIJEVODI!$B$1:$D$1,0))</f>
        <v xml:space="preserve">8.   INLÄNDISCHE LIEFERUNGEN       </v>
      </c>
      <c r="C25" s="26">
        <v>0</v>
      </c>
      <c r="D25" s="53" t="s">
        <v>6</v>
      </c>
    </row>
    <row r="26" spans="2:5" x14ac:dyDescent="0.2">
      <c r="B26" s="8" t="str">
        <f>INDEX(PRIJEVODI!B:D,MATCH("PDV-021",PRIJEVODI!A:A,0),MATCH(NASLOV!$B$2,PRIJEVODI!$B$1:$D$1,0))</f>
        <v>9.   AUSFUHR DIENSTLEISTUNGEN</v>
      </c>
      <c r="C26" s="26">
        <v>0</v>
      </c>
      <c r="D26" s="53" t="s">
        <v>6</v>
      </c>
    </row>
    <row r="27" spans="2:5" ht="13.5" thickBot="1" x14ac:dyDescent="0.25">
      <c r="B27" s="16" t="str">
        <f>INDEX(PRIJEVODI!B:D,MATCH("PDV-022",PRIJEVODI!A:A,0),MATCH(NASLOV!$B$2,PRIJEVODI!$B$1:$D$1,0))</f>
        <v>10.   SONSTIGE BEFREIUNGEN</v>
      </c>
      <c r="C27" s="26">
        <v>0</v>
      </c>
      <c r="D27" s="54"/>
    </row>
    <row r="28" spans="2:5" ht="27" customHeight="1" x14ac:dyDescent="0.2">
      <c r="B28" s="17" t="str">
        <f>INDEX(PRIJEVODI!B:D,MATCH("PDV-023",PRIJEVODI!A:A,0),MATCH(NASLOV!$B$2,PRIJEVODI!$B$1:$D$1,0))</f>
        <v>II. STEUERBARE TRANSAKTIONEN – INSGESAMT 
(1+2+3+4+5+6+7+8+9+10+11+12+13+14+15)</v>
      </c>
      <c r="C28" s="25" t="e">
        <f>SUM(C29:C43)-0.01</f>
        <v>#REF!</v>
      </c>
      <c r="D28" s="55" t="e">
        <f>SUM(D29:D43)-0.01</f>
        <v>#REF!</v>
      </c>
    </row>
    <row r="29" spans="2:5" ht="29.45" customHeight="1" x14ac:dyDescent="0.2">
      <c r="B29" s="19" t="str">
        <f>INDEX(PRIJEVODI!B:D,MATCH("PDV-024",PRIJEVODI!A:A,0),MATCH(NASLOV!$B$2,PRIJEVODI!$B$1:$D$1,0))</f>
        <v>1.   LIEFERUNGEN VON GÜTERN UND DIENSTLEISTUNGEN IN KROATIEN 
ZUM STEUERSATZ VON 5%</v>
      </c>
      <c r="C29" s="26">
        <f>'I-RA'!S67</f>
        <v>0</v>
      </c>
      <c r="D29" s="26">
        <f>'I-RA'!T67</f>
        <v>0</v>
      </c>
    </row>
    <row r="30" spans="2:5" ht="27" customHeight="1" x14ac:dyDescent="0.2">
      <c r="B30" s="19" t="str">
        <f>INDEX(PRIJEVODI!B:D,MATCH("PDV-025",PRIJEVODI!A:A,0),MATCH(NASLOV!$B$2,PRIJEVODI!$B$1:$D$1,0))</f>
        <v>2.   LIEFERUNGEN VON GÜTERN UND DIENSTLEISTUNGEN IN KROATIEN 
ZUM STEUERSATZ VON  13%</v>
      </c>
      <c r="C30" s="56">
        <f>'I-RA'!U67</f>
        <v>24703.617692307693</v>
      </c>
      <c r="D30" s="56">
        <f>'I-RA'!V67</f>
        <v>3211.4703</v>
      </c>
    </row>
    <row r="31" spans="2:5" ht="47.45" customHeight="1" x14ac:dyDescent="0.2">
      <c r="B31" s="19" t="str">
        <f>INDEX(PRIJEVODI!B:D,MATCH("PDV-026",PRIJEVODI!A:A,0),MATCH(NASLOV!$B$2,PRIJEVODI!$B$1:$D$1,0))</f>
        <v>3.   LIEFERUNGEN VON GÜTERN UND DIENSTLEISTUNGEN IN KROATIEN 
ZUM STEUERSATZ VON   25%</v>
      </c>
      <c r="C31" s="56">
        <v>0</v>
      </c>
      <c r="D31" s="56">
        <v>0</v>
      </c>
      <c r="E31" s="28"/>
    </row>
    <row r="32" spans="2:5" ht="37.5" customHeight="1" x14ac:dyDescent="0.2">
      <c r="B32" s="7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6">
        <v>0</v>
      </c>
      <c r="D32" s="56">
        <v>0</v>
      </c>
    </row>
    <row r="33" spans="2:8" ht="26.25" customHeight="1" x14ac:dyDescent="0.2">
      <c r="B33" s="7" t="str">
        <f>INDEX(PRIJEVODI!B:D,MATCH("PDV-028",PRIJEVODI!A:A,0),MATCH(NASLOV!$B$2,PRIJEVODI!$B$1:$D$1,0))</f>
        <v>5. ERWERB VON GÜTERN INNERHALB DER EU ZUM STEUERSATZ VON  5%</v>
      </c>
      <c r="C33" s="26">
        <v>0</v>
      </c>
      <c r="D33" s="56">
        <v>0</v>
      </c>
    </row>
    <row r="34" spans="2:8" ht="25.15" customHeight="1" x14ac:dyDescent="0.2">
      <c r="B34" s="7" t="str">
        <f>INDEX(PRIJEVODI!B:D,MATCH("PDV-029",PRIJEVODI!A:A,0),MATCH(NASLOV!$B$2,PRIJEVODI!$B$1:$D$1,0))</f>
        <v>6.  ERWERB VON GÜTERN INNERHALB DER EU ZUM STEUERSATZ VON  13%</v>
      </c>
      <c r="C34" s="26">
        <v>0</v>
      </c>
      <c r="D34" s="56">
        <v>0</v>
      </c>
    </row>
    <row r="35" spans="2:8" ht="25.15" customHeight="1" x14ac:dyDescent="0.2">
      <c r="B35" s="7" t="str">
        <f>INDEX(PRIJEVODI!B:D,MATCH("PDV-030",PRIJEVODI!A:A,0),MATCH(NASLOV!$B$2,PRIJEVODI!$B$1:$D$1,0))</f>
        <v>7.  ERWERB VON GÜTERN INNERHALB DER EU ZUM STEUERSATZ VON  25%</v>
      </c>
      <c r="C35" s="26">
        <f>C51</f>
        <v>0</v>
      </c>
      <c r="D35" s="56">
        <v>0</v>
      </c>
      <c r="E35" s="29"/>
    </row>
    <row r="36" spans="2:8" x14ac:dyDescent="0.2">
      <c r="B36" s="7" t="str">
        <f>INDEX(PRIJEVODI!B:D,MATCH("PDV-031",PRIJEVODI!A:A,0),MATCH(NASLOV!$B$2,PRIJEVODI!$B$1:$D$1,0))</f>
        <v>8.  EMPFANGENE DIENSTLEISTUNGEN AUS DER EU ZUM STEUERSATZ VON  5%</v>
      </c>
      <c r="C36" s="26">
        <v>0</v>
      </c>
      <c r="D36" s="56">
        <v>0</v>
      </c>
    </row>
    <row r="37" spans="2:8" x14ac:dyDescent="0.2">
      <c r="B37" s="7" t="str">
        <f>INDEX(PRIJEVODI!B:D,MATCH("PDV-032",PRIJEVODI!A:A,0),MATCH(NASLOV!$B$2,PRIJEVODI!$B$1:$D$1,0))</f>
        <v>9. EMPFANGENE DIENSTLEISTUNGEN AUS DER EU ZUM STEUERSATZ VON 13%</v>
      </c>
      <c r="C37" s="26">
        <v>0</v>
      </c>
      <c r="D37" s="56">
        <v>0</v>
      </c>
    </row>
    <row r="38" spans="2:8" x14ac:dyDescent="0.2">
      <c r="B38" s="7" t="str">
        <f>INDEX(PRIJEVODI!B:D,MATCH("PDV-033",PRIJEVODI!A:A,0),MATCH(NASLOV!$B$2,PRIJEVODI!$B$1:$D$1,0))</f>
        <v>10.  EMPFANGENE DIENSTLEISTUNGEN AUS DER EU ZUM STEUERSATZ VON 25%</v>
      </c>
      <c r="C38" s="26" t="e">
        <f>+C54</f>
        <v>#REF!</v>
      </c>
      <c r="D38" s="56" t="e">
        <f>+C38*0.25</f>
        <v>#REF!</v>
      </c>
    </row>
    <row r="39" spans="2:8" ht="25.5" x14ac:dyDescent="0.2">
      <c r="B39" s="7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6">
        <v>0</v>
      </c>
      <c r="D39" s="56">
        <v>0</v>
      </c>
    </row>
    <row r="40" spans="2:8" ht="37.5" customHeight="1" x14ac:dyDescent="0.2">
      <c r="B40" s="7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6">
        <v>0</v>
      </c>
      <c r="D40" s="56">
        <v>0</v>
      </c>
    </row>
    <row r="41" spans="2:8" ht="37.5" customHeight="1" x14ac:dyDescent="0.2">
      <c r="B41" s="7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6">
        <v>0</v>
      </c>
      <c r="D41" s="56">
        <v>0</v>
      </c>
    </row>
    <row r="42" spans="2:8" ht="26.25" customHeight="1" x14ac:dyDescent="0.2">
      <c r="B42" s="27" t="str">
        <f>INDEX(PRIJEVODI!B:D,MATCH("PDV-037",PRIJEVODI!A:A,0),MATCH(NASLOV!$B$2,PRIJEVODI!$B$1:$D$1,0))</f>
        <v xml:space="preserve">14. NACHTRÄ'GLICHE BEFREIUNG DER AUSFUHR IM RAHMEN DES PERSONENVERKEHRS </v>
      </c>
      <c r="C42" s="26">
        <v>0</v>
      </c>
      <c r="D42" s="56">
        <v>0</v>
      </c>
    </row>
    <row r="43" spans="2:8" ht="13.5" thickBot="1" x14ac:dyDescent="0.25">
      <c r="B43" s="10" t="str">
        <f>INDEX(PRIJEVODI!B:D,MATCH("PDV-038",PRIJEVODI!A:A,0),MATCH(NASLOV!$B$2,PRIJEVODI!$B$1:$D$1,0))</f>
        <v>15. ABGERECHNETE EINFUHRUMSATZSTEUER</v>
      </c>
      <c r="C43" s="26">
        <v>0</v>
      </c>
      <c r="D43" s="56">
        <v>0</v>
      </c>
    </row>
    <row r="44" spans="2:8" ht="33.6" customHeight="1" x14ac:dyDescent="0.2">
      <c r="B44" s="17" t="str">
        <f>INDEX(PRIJEVODI!B:D,MATCH("PDV-039",PRIJEVODI!A:A,0),MATCH(NASLOV!$B$2,PRIJEVODI!$B$1:$D$1,0))</f>
        <v xml:space="preserve">III. ABGERECHNETE VORSTEUER - INSGESAMT (1+2+3+4+ 5 + 6+7+8+9+10+11+12+13+14+15) </v>
      </c>
      <c r="C44" s="25" t="e">
        <f>SUM(C45:C59)-0.01</f>
        <v>#REF!</v>
      </c>
      <c r="D44" s="55" t="e">
        <f>SUM(D45:D59)-0.01</f>
        <v>#REF!</v>
      </c>
    </row>
    <row r="45" spans="2:8" ht="18" customHeight="1" x14ac:dyDescent="0.2">
      <c r="B45" s="8" t="str">
        <f>INDEX(PRIJEVODI!B:D,MATCH("PDV-040",PRIJEVODI!A:A,0),MATCH(NASLOV!$B$2,PRIJEVODI!$B$1:$D$1,0))</f>
        <v>1. VORSTEUER AUS EMPFANGENEN LIEFERUNGEN IM INLAND 
ZUM STEUERSAZ VON 5%</v>
      </c>
      <c r="C45" s="26">
        <f>+'U-RA'!H158</f>
        <v>0</v>
      </c>
      <c r="D45" s="57">
        <f>+'U-RA'!N158</f>
        <v>0</v>
      </c>
      <c r="H45" s="35">
        <f>+D30-D46-D47</f>
        <v>2149.5330999999996</v>
      </c>
    </row>
    <row r="46" spans="2:8" ht="18" customHeight="1" x14ac:dyDescent="0.2">
      <c r="B46" s="8" t="str">
        <f>INDEX(PRIJEVODI!B:D,MATCH("PDV-041",PRIJEVODI!A:A,0),MATCH(NASLOV!$B$2,PRIJEVODI!$B$1:$D$1,0))</f>
        <v>2. VORSTEUER AUS EMPFANGENEN LIEFERUNGEN IM INLAND 
ZUM STEUERSATZ VON 13%</v>
      </c>
      <c r="C46" s="56">
        <f>+'U-RA'!I158</f>
        <v>822.68999999999983</v>
      </c>
      <c r="D46" s="56">
        <f>+C46*0.13</f>
        <v>106.94969999999998</v>
      </c>
    </row>
    <row r="47" spans="2:8" ht="18" customHeight="1" x14ac:dyDescent="0.2">
      <c r="B47" s="8" t="str">
        <f>INDEX(PRIJEVODI!B:D,MATCH("PDV-042",PRIJEVODI!A:A,0),MATCH(NASLOV!$B$2,PRIJEVODI!$B$1:$D$1,0))</f>
        <v>3. VORSTEUER AUS EMPFANGENEN LIEFERUNGEN IM INLAND 
ZUM STEUERSAT*Z VON 25%</v>
      </c>
      <c r="C47" s="56">
        <f>+'U-RA'!J158</f>
        <v>3819.91</v>
      </c>
      <c r="D47" s="56">
        <f>+C47*0.25+0.01</f>
        <v>954.98749999999995</v>
      </c>
    </row>
    <row r="48" spans="2:8" ht="41.25" customHeight="1" x14ac:dyDescent="0.2">
      <c r="B48" s="7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6">
        <v>0</v>
      </c>
      <c r="D48" s="56">
        <v>0</v>
      </c>
    </row>
    <row r="49" spans="2:6" ht="25.5" x14ac:dyDescent="0.2">
      <c r="B49" s="7" t="str">
        <f>INDEX(PRIJEVODI!B:D,MATCH("PDV-044",PRIJEVODI!A:A,0),MATCH(NASLOV!$B$2,PRIJEVODI!$B$1:$D$1,0))</f>
        <v>5. VORSTEUER AUS DEM ERWERB VON GÜTERN INNERHALB DER EU 
ZUM STEUERSATZ VON 5%</v>
      </c>
      <c r="C49" s="26">
        <v>0</v>
      </c>
      <c r="D49" s="56">
        <v>0</v>
      </c>
    </row>
    <row r="50" spans="2:6" ht="25.5" x14ac:dyDescent="0.2">
      <c r="B50" s="7" t="str">
        <f>INDEX(PRIJEVODI!B:D,MATCH("PDV-045",PRIJEVODI!A:A,0),MATCH(NASLOV!$B$2,PRIJEVODI!$B$1:$D$1,0))</f>
        <v>6. VORSTEUER AUS DEM ERWERB VON GÜTERN INNERHALB DER EU ZUM STEUERSATZ VON 13%</v>
      </c>
      <c r="C50" s="26">
        <v>0</v>
      </c>
      <c r="D50" s="56">
        <v>0</v>
      </c>
      <c r="E50" s="29"/>
    </row>
    <row r="51" spans="2:6" ht="25.5" x14ac:dyDescent="0.2">
      <c r="B51" s="7" t="str">
        <f>INDEX(PRIJEVODI!B:D,MATCH("PDV-046",PRIJEVODI!A:A,0),MATCH(NASLOV!$B$2,PRIJEVODI!$B$1:$D$1,0))</f>
        <v>7. VORSTEUER AUS DEM ERWERB VON GÜTERN INNERHALB DER EU 
ZUM STEUERSATZ VON 25%</v>
      </c>
      <c r="C51" s="26">
        <v>0</v>
      </c>
      <c r="D51" s="56">
        <v>0</v>
      </c>
      <c r="E51" s="29"/>
    </row>
    <row r="52" spans="2:6" ht="25.5" x14ac:dyDescent="0.2">
      <c r="B52" s="7" t="str">
        <f>INDEX(PRIJEVODI!B:D,MATCH("PDV-047",PRIJEVODI!A:A,0),MATCH(NASLOV!$B$2,PRIJEVODI!$B$1:$D$1,0))</f>
        <v>8. VORSTEUER AUS DEM EMPFANG VON DIENSTLEISTUNGEN AUS DER EU 
ZUM STEUERSATZ VON 5%</v>
      </c>
      <c r="C52" s="26">
        <v>0</v>
      </c>
      <c r="D52" s="56">
        <v>0</v>
      </c>
    </row>
    <row r="53" spans="2:6" ht="25.5" x14ac:dyDescent="0.2">
      <c r="B53" s="7" t="str">
        <f>INDEX(PRIJEVODI!B:D,MATCH("PDV-048",PRIJEVODI!A:A,0),MATCH(NASLOV!$B$2,PRIJEVODI!$B$1:$D$1,0))</f>
        <v>9. VORSTEUER AUS DEM EMPFANG VON DIENSTLEISTUNGEN AUS DER EU 
ZUM STEUERSATZ VON 13%</v>
      </c>
      <c r="C53" s="26">
        <v>0</v>
      </c>
      <c r="D53" s="56">
        <v>0</v>
      </c>
    </row>
    <row r="54" spans="2:6" ht="25.5" x14ac:dyDescent="0.2">
      <c r="B54" s="7" t="str">
        <f>INDEX(PRIJEVODI!B:D,MATCH("PDV-049",PRIJEVODI!A:A,0),MATCH(NASLOV!$B$2,PRIJEVODI!$B$1:$D$1,0))</f>
        <v>10. VORSTEUER AUS DEM EMPFANG VON DIENSTLEISTUNGEN AUS DER EU 
ZUM STEUERSATZ VON 25%</v>
      </c>
      <c r="C54" s="26" t="e">
        <f>+'IC Aq'!#REF!+'IC Aq'!J29</f>
        <v>#REF!</v>
      </c>
      <c r="D54" s="56" t="e">
        <f>+'IC Aq'!#REF!+'IC Aq'!R29</f>
        <v>#REF!</v>
      </c>
    </row>
    <row r="55" spans="2:6" ht="37.5" customHeight="1" x14ac:dyDescent="0.2">
      <c r="B55" s="7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6">
        <v>0</v>
      </c>
      <c r="D55" s="56">
        <v>0</v>
      </c>
    </row>
    <row r="56" spans="2:6" ht="37.5" customHeight="1" x14ac:dyDescent="0.2">
      <c r="B56" s="7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6">
        <v>0</v>
      </c>
      <c r="D56" s="56">
        <v>0</v>
      </c>
    </row>
    <row r="57" spans="2:6" ht="37.5" customHeight="1" x14ac:dyDescent="0.2">
      <c r="B57" s="7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6">
        <v>0</v>
      </c>
      <c r="D57" s="56">
        <v>0</v>
      </c>
    </row>
    <row r="58" spans="2:6" x14ac:dyDescent="0.2">
      <c r="B58" s="7" t="str">
        <f>INDEX(PRIJEVODI!B:D,MATCH("PDV-053",PRIJEVODI!A:A,0),MATCH(NASLOV!$B$2,PRIJEVODI!$B$1:$D$1,0))</f>
        <v>14. VORSTEUER BEI DER EINFUHR</v>
      </c>
      <c r="C58" s="26">
        <v>0</v>
      </c>
      <c r="D58" s="56">
        <v>0</v>
      </c>
    </row>
    <row r="59" spans="2:6" ht="13.5" thickBot="1" x14ac:dyDescent="0.25">
      <c r="B59" s="10" t="str">
        <f>INDEX(PRIJEVODI!B:D,MATCH("PDV-054",PRIJEVODI!A:A,0),MATCH(NASLOV!$B$2,PRIJEVODI!$B$1:$D$1,0))</f>
        <v>15. BERICHTIGUNG VORSTEUER</v>
      </c>
      <c r="C59" s="26">
        <v>0</v>
      </c>
      <c r="D59" s="56">
        <v>0</v>
      </c>
    </row>
    <row r="60" spans="2:6" ht="26.25" customHeight="1" x14ac:dyDescent="0.2">
      <c r="B60" s="17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8"/>
      <c r="D60" s="58" t="e">
        <f>D28-D44</f>
        <v>#REF!</v>
      </c>
    </row>
    <row r="61" spans="2:6" ht="38.25" customHeight="1" x14ac:dyDescent="0.2">
      <c r="B61" s="15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5">
        <v>-3970.81</v>
      </c>
    </row>
    <row r="62" spans="2:6" x14ac:dyDescent="0.2">
      <c r="B62" s="20" t="str">
        <f>INDEX(PRIJEVODI!B:D,MATCH("PDV-057",PRIJEVODI!A:A,0),MATCH(NASLOV!$B$2,PRIJEVODI!$B$1:$D$1,0))</f>
        <v xml:space="preserve">VI. INSGESAMT DIFFERENZ: FÜR EINZAHLUNG / FÜR RÜCKERSTATTUNG </v>
      </c>
      <c r="C62" s="5"/>
      <c r="D62" s="57" t="e">
        <f>+D60+D61</f>
        <v>#REF!</v>
      </c>
    </row>
    <row r="63" spans="2:6" ht="25.5" customHeight="1" thickBot="1" x14ac:dyDescent="0.25">
      <c r="B63" s="21" t="str">
        <f>INDEX(PRIJEVODI!B:D,MATCH("PDV-058",PRIJEVODI!A:A,0),MATCH(NASLOV!$B$2,PRIJEVODI!$B$1:$D$1,0))</f>
        <v>VII. JÄHRLICHER PROPORTIONALER VORSTEUERERSTATTUNGSBETRA (%)</v>
      </c>
      <c r="C63" s="13"/>
      <c r="D63" s="59"/>
      <c r="F63" s="32"/>
    </row>
    <row r="64" spans="2:6" ht="64.5" customHeight="1" x14ac:dyDescent="0.2">
      <c r="E64" s="31"/>
      <c r="F64" s="32"/>
    </row>
    <row r="65" spans="1:6" x14ac:dyDescent="0.2">
      <c r="F65" s="32"/>
    </row>
    <row r="66" spans="1:6" x14ac:dyDescent="0.2">
      <c r="F66" s="32"/>
    </row>
    <row r="68" spans="1:6" x14ac:dyDescent="0.2">
      <c r="B68" s="50" t="s">
        <v>567</v>
      </c>
      <c r="C68" s="63">
        <v>0</v>
      </c>
      <c r="D68" s="50" t="s">
        <v>567</v>
      </c>
    </row>
    <row r="69" spans="1:6" x14ac:dyDescent="0.2">
      <c r="B69" s="1" t="s">
        <v>69</v>
      </c>
      <c r="C69" s="1" t="s">
        <v>70</v>
      </c>
      <c r="D69" s="1" t="s">
        <v>71</v>
      </c>
    </row>
    <row r="72" spans="1:6" x14ac:dyDescent="0.2">
      <c r="A72" s="304" t="s">
        <v>460</v>
      </c>
      <c r="B72" s="304"/>
      <c r="D72" s="5" t="s">
        <v>573</v>
      </c>
      <c r="E72" s="2"/>
    </row>
    <row r="73" spans="1:6" ht="63.75" x14ac:dyDescent="0.2">
      <c r="A73" s="62" t="s">
        <v>572</v>
      </c>
      <c r="B73" s="3"/>
      <c r="D73" s="61" t="s">
        <v>574</v>
      </c>
      <c r="E73" s="60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71" t="str">
        <f>NASLOV!B5</f>
        <v>Markus Renz</v>
      </c>
      <c r="B1" s="271"/>
      <c r="C1" s="271"/>
      <c r="D1" s="271"/>
      <c r="E1" s="271"/>
      <c r="F1" s="271"/>
    </row>
    <row r="2" spans="1:18" x14ac:dyDescent="0.2">
      <c r="A2" s="271"/>
      <c r="B2" s="271"/>
      <c r="C2" s="271"/>
      <c r="D2" s="271"/>
      <c r="E2" s="271"/>
      <c r="F2" s="271"/>
    </row>
    <row r="3" spans="1:18" x14ac:dyDescent="0.2">
      <c r="C3" s="269" t="str">
        <f>INDEX(PRIJEVODI!B:D,MATCH("URA75-001",PRIJEVODI!A:A,0),MATCH(NASLOV!$B$2,PRIJEVODI!$B$1:$D$1,0))</f>
        <v>STEUERPFLICHTIGER: NAME / NACHNAME</v>
      </c>
      <c r="D3" s="269"/>
      <c r="E3" s="269"/>
      <c r="F3" s="269"/>
      <c r="Q3" s="274"/>
      <c r="R3" s="274"/>
    </row>
    <row r="4" spans="1:18" x14ac:dyDescent="0.2">
      <c r="C4" s="270" t="str">
        <f>NASLOV!B7</f>
        <v>Am Sonnblick 6, Lichtenau</v>
      </c>
      <c r="D4" s="270"/>
      <c r="E4" s="270"/>
      <c r="F4" s="270"/>
    </row>
    <row r="5" spans="1:18" x14ac:dyDescent="0.2">
      <c r="C5" s="270"/>
      <c r="D5" s="270"/>
      <c r="E5" s="270"/>
      <c r="F5" s="270"/>
    </row>
    <row r="6" spans="1:18" x14ac:dyDescent="0.2">
      <c r="C6" s="269" t="str">
        <f>INDEX(PRIJEVODI!B:D,MATCH("URA75-002",PRIJEVODI!A:A,0),MATCH(NASLOV!$B$2,PRIJEVODI!$B$1:$D$1,0))</f>
        <v>ADRESSE: ORT, STRASSE UND HAUSNUMMER</v>
      </c>
      <c r="D6" s="269"/>
      <c r="E6" s="269"/>
      <c r="F6" s="269"/>
    </row>
    <row r="7" spans="1:18" x14ac:dyDescent="0.2">
      <c r="C7" s="272"/>
      <c r="D7" s="272"/>
      <c r="E7" s="272"/>
      <c r="F7" s="272"/>
    </row>
    <row r="8" spans="1:18" x14ac:dyDescent="0.2">
      <c r="C8" s="272"/>
      <c r="D8" s="272"/>
      <c r="E8" s="272"/>
      <c r="F8" s="272"/>
    </row>
    <row r="9" spans="1:18" x14ac:dyDescent="0.2">
      <c r="C9" s="269" t="str">
        <f>INDEX(PRIJEVODI!B:D,MATCH("URA75-003",PRIJEVODI!A:A,0),MATCH(NASLOV!$B$2,PRIJEVODI!$B$1:$D$1,0))</f>
        <v xml:space="preserve">NUMMERIERUNG GEMÄSS DEM NATIONALEN KLASSIFIZIERUNGSSYSTEM  </v>
      </c>
      <c r="D9" s="269"/>
      <c r="E9" s="269"/>
      <c r="F9" s="269"/>
    </row>
    <row r="10" spans="1:18" x14ac:dyDescent="0.2">
      <c r="C10" s="269"/>
      <c r="D10" s="269"/>
      <c r="E10" s="269"/>
      <c r="F10" s="269"/>
    </row>
    <row r="11" spans="1:18" x14ac:dyDescent="0.2">
      <c r="C11" s="270" t="str">
        <f>NASLOV!B9</f>
        <v>HR6411581446</v>
      </c>
      <c r="D11" s="270"/>
      <c r="E11" s="270"/>
      <c r="F11" s="270"/>
    </row>
    <row r="12" spans="1:18" x14ac:dyDescent="0.2">
      <c r="C12" s="270"/>
      <c r="D12" s="270"/>
      <c r="E12" s="270"/>
      <c r="F12" s="270"/>
    </row>
    <row r="13" spans="1:18" x14ac:dyDescent="0.2">
      <c r="C13" s="269" t="str">
        <f>INDEX(PRIJEVODI!B:D,MATCH("URA75-004",PRIJEVODI!A:A,0),MATCH(NASLOV!$B$2,PRIJEVODI!$B$1:$D$1,0))</f>
        <v>STEUERNUMMER (UID)</v>
      </c>
      <c r="D13" s="269"/>
      <c r="E13" s="269"/>
      <c r="F13" s="269"/>
    </row>
    <row r="15" spans="1:18" x14ac:dyDescent="0.2">
      <c r="G15" s="273" t="str">
        <f>INDEX(PRIJEVODI!B:D,MATCH("URA75-005",PRIJEVODI!A:A,0),MATCH(NASLOV!$B$2,PRIJEVODI!$B$1:$D$1,0))</f>
        <v>EINGANGSRECHNUNGBUCH - Art 75(2)</v>
      </c>
      <c r="H15" s="274"/>
      <c r="I15" s="274"/>
      <c r="J15" s="274"/>
      <c r="K15" s="274"/>
      <c r="L15" s="1"/>
    </row>
    <row r="16" spans="1:18" x14ac:dyDescent="0.2">
      <c r="G16" s="274"/>
      <c r="H16" s="274"/>
      <c r="I16" s="274"/>
      <c r="J16" s="274"/>
      <c r="K16" s="274"/>
      <c r="L16" s="1"/>
      <c r="O16" s="274" t="str">
        <f>INDEX(PRIJEVODI!B:D,MATCH("URA75-006",PRIJEVODI!A:A,0),MATCH(NASLOV!$B$2,PRIJEVODI!$B$1:$D$1,0))</f>
        <v>BETRAG IN KUNA UND LIPA</v>
      </c>
      <c r="P16" s="274"/>
      <c r="Q16" s="274"/>
      <c r="R16" s="274"/>
    </row>
    <row r="19" spans="2:19" ht="12.75" customHeight="1" x14ac:dyDescent="0.2">
      <c r="B19" s="243" t="str">
        <f>INDEX(PRIJEVODI!B:D,MATCH("URA75-007",PRIJEVODI!A:A,0),MATCH(NASLOV!$B$2,PRIJEVODI!$B$1:$D$1,0))</f>
        <v xml:space="preserve">ORDNUNGSNUMMER </v>
      </c>
      <c r="C19" s="246" t="str">
        <f>INDEX(PRIJEVODI!B:D,MATCH("URA75-008",PRIJEVODI!A:A,0),MATCH(NASLOV!$B$2,PRIJEVODI!$B$1:$D$1,0))</f>
        <v>RECHNUNG</v>
      </c>
      <c r="D19" s="247"/>
      <c r="E19" s="298" t="str">
        <f>INDEX(PRIJEVODI!B:D,MATCH("URA75-011",PRIJEVODI!A:A,0),MATCH(NASLOV!$B$2,PRIJEVODI!$B$1:$D$1,0))</f>
        <v>LIEFERANT (ANBIETER VON WAREN UND DIENSTLEISTUNGEN)</v>
      </c>
      <c r="F19" s="299"/>
      <c r="G19" s="299"/>
      <c r="H19" s="299"/>
      <c r="I19" s="299"/>
      <c r="J19" s="299"/>
      <c r="K19" s="299"/>
      <c r="L19" s="299"/>
      <c r="M19" s="296"/>
      <c r="N19" s="246" t="str">
        <f>INDEX(PRIJEVODI!B:D,MATCH("URA75-020",PRIJEVODI!A:A,0),MATCH(NASLOV!$B$2,PRIJEVODI!$B$1:$D$1,0))</f>
        <v>STEUER</v>
      </c>
      <c r="O19" s="277"/>
      <c r="P19" s="277"/>
      <c r="Q19" s="277"/>
      <c r="R19" s="277"/>
      <c r="S19" s="283"/>
    </row>
    <row r="20" spans="2:19" x14ac:dyDescent="0.2">
      <c r="B20" s="244"/>
      <c r="C20" s="248"/>
      <c r="D20" s="249"/>
      <c r="E20" s="286"/>
      <c r="F20" s="300"/>
      <c r="G20" s="300"/>
      <c r="H20" s="300"/>
      <c r="I20" s="300"/>
      <c r="J20" s="300"/>
      <c r="K20" s="300"/>
      <c r="L20" s="300"/>
      <c r="M20" s="301"/>
      <c r="N20" s="279"/>
      <c r="O20" s="280"/>
      <c r="P20" s="280"/>
      <c r="Q20" s="280"/>
      <c r="R20" s="280"/>
      <c r="S20" s="281"/>
    </row>
    <row r="21" spans="2:19" ht="12.75" customHeight="1" x14ac:dyDescent="0.2">
      <c r="B21" s="244"/>
      <c r="C21" s="256" t="str">
        <f>INDEX(PRIJEVODI!B:D,MATCH("URA75-009",PRIJEVODI!A:A,0),MATCH(NASLOV!$B$2,PRIJEVODI!$B$1:$D$1,0))</f>
        <v xml:space="preserve">NUMMER </v>
      </c>
      <c r="D21" s="256" t="str">
        <f>INDEX(PRIJEVODI!B:D,MATCH("URA75-010",PRIJEVODI!A:A,0),MATCH(NASLOV!$B$2,PRIJEVODI!$B$1:$D$1,0))</f>
        <v>DATUM</v>
      </c>
      <c r="E21" s="259" t="str">
        <f>INDEX(PRIJEVODI!B:D,MATCH("URA75-012",PRIJEVODI!A:A,0),MATCH(NASLOV!$B$2,PRIJEVODI!$B$1:$D$1,0))</f>
        <v>TITEL - NAME UND NACHNAME, GESCHÄFTSSITZ / SITZORT</v>
      </c>
      <c r="F21" s="260"/>
      <c r="G21" s="265" t="str">
        <f>INDEX(PRIJEVODI!B:D,MATCH("URA75-013",PRIJEVODI!A:A,0),MATCH(NASLOV!$B$2,PRIJEVODI!$B$1:$D$1,0))</f>
        <v>STEUERNUMMER (UID)</v>
      </c>
      <c r="H21" s="284" t="str">
        <f>INDEX(PRIJEVODI!B:D,MATCH("URA75-014",PRIJEVODI!A:A,0),MATCH(NASLOV!$B$2,PRIJEVODI!$B$1:$D$1,0))</f>
        <v>LIEFERWERT</v>
      </c>
      <c r="I21" s="299"/>
      <c r="J21" s="296"/>
      <c r="K21" s="265" t="str">
        <f>INDEX(PRIJEVODI!B:D,MATCH("URA75-018",PRIJEVODI!A:A,0),MATCH(NASLOV!$B$2,PRIJEVODI!$B$1:$D$1,0))</f>
        <v>GESAMTBETRAG DER RECHNUNG INKLUSIVE MwST.</v>
      </c>
      <c r="L21" s="45"/>
      <c r="M21" s="256" t="str">
        <f>INDEX(PRIJEVODI!B:D,MATCH("URA75-030",PRIJEVODI!A:A,0),MATCH(NASLOV!$B$2,PRIJEVODI!$B$1:$D$1,0))</f>
        <v>TOTAL</v>
      </c>
      <c r="N21" s="282">
        <v>0.05</v>
      </c>
      <c r="O21" s="283"/>
      <c r="P21" s="282">
        <v>0.13</v>
      </c>
      <c r="Q21" s="283"/>
      <c r="R21" s="282">
        <v>0.25</v>
      </c>
      <c r="S21" s="283"/>
    </row>
    <row r="22" spans="2:19" x14ac:dyDescent="0.2">
      <c r="B22" s="244"/>
      <c r="C22" s="257"/>
      <c r="D22" s="257"/>
      <c r="E22" s="261"/>
      <c r="F22" s="262"/>
      <c r="G22" s="266"/>
      <c r="H22" s="285"/>
      <c r="I22" s="302"/>
      <c r="J22" s="303"/>
      <c r="K22" s="266"/>
      <c r="L22" s="46"/>
      <c r="M22" s="257"/>
      <c r="N22" s="279"/>
      <c r="O22" s="281"/>
      <c r="P22" s="279"/>
      <c r="Q22" s="281"/>
      <c r="R22" s="279"/>
      <c r="S22" s="281"/>
    </row>
    <row r="23" spans="2:19" x14ac:dyDescent="0.2">
      <c r="B23" s="244"/>
      <c r="C23" s="257"/>
      <c r="D23" s="257"/>
      <c r="E23" s="261"/>
      <c r="F23" s="262"/>
      <c r="G23" s="266"/>
      <c r="H23" s="285"/>
      <c r="I23" s="302"/>
      <c r="J23" s="303"/>
      <c r="K23" s="266"/>
      <c r="L23" s="46"/>
      <c r="M23" s="257"/>
      <c r="N23" s="265" t="str">
        <f>INDEX(PRIJEVODI!B:D,MATCH("URA75-022",PRIJEVODI!A:A,0),MATCH(NASLOV!$B$2,PRIJEVODI!$B$1:$D$1,0))</f>
        <v>ABZUGSFÄHIG</v>
      </c>
      <c r="O23" s="265" t="str">
        <f>INDEX(PRIJEVODI!B:D,MATCH("URA75-023",PRIJEVODI!A:A,0),MATCH(NASLOV!$B$2,PRIJEVODI!$B$1:$D$1,0))</f>
        <v>NICHT ABZUGSFÄHIG</v>
      </c>
      <c r="P23" s="265" t="str">
        <f>INDEX(PRIJEVODI!B:D,MATCH("URA75-025",PRIJEVODI!A:A,0),MATCH(NASLOV!$B$2,PRIJEVODI!$B$1:$D$1,0))</f>
        <v>ABZUGSFÄHIG</v>
      </c>
      <c r="Q23" s="265" t="str">
        <f>INDEX(PRIJEVODI!B:D,MATCH("URA75-026",PRIJEVODI!A:A,0),MATCH(NASLOV!$B$2,PRIJEVODI!$B$1:$D$1,0))</f>
        <v>NICHT ABZUGSFÄHIG</v>
      </c>
      <c r="R23" s="265" t="str">
        <f>INDEX(PRIJEVODI!B:D,MATCH("URA75-028",PRIJEVODI!A:A,0),MATCH(NASLOV!$B$2,PRIJEVODI!$B$1:$D$1,0))</f>
        <v>ABZUGSFÄHIG</v>
      </c>
      <c r="S23" s="265" t="str">
        <f>INDEX(PRIJEVODI!B:D,MATCH("URA75-029",PRIJEVODI!A:A,0),MATCH(NASLOV!$B$2,PRIJEVODI!$B$1:$D$1,0))</f>
        <v>NICHT ABZUGSFÄHIG</v>
      </c>
    </row>
    <row r="24" spans="2:19" x14ac:dyDescent="0.2">
      <c r="B24" s="244"/>
      <c r="C24" s="257"/>
      <c r="D24" s="257"/>
      <c r="E24" s="261"/>
      <c r="F24" s="262"/>
      <c r="G24" s="266"/>
      <c r="H24" s="285"/>
      <c r="I24" s="302"/>
      <c r="J24" s="303"/>
      <c r="K24" s="266"/>
      <c r="L24" s="48" t="str">
        <f>INDEX(PRIJEVODI!B:D,MATCH("URA75-019",PRIJEVODI!A:A,0),MATCH(NASLOV!$B$2,PRIJEVODI!$B$1:$D$1,0))</f>
        <v>STEUERBEFREIUNGEN / ABZUGSFÄHIG</v>
      </c>
      <c r="M24" s="257"/>
      <c r="N24" s="266"/>
      <c r="O24" s="266"/>
      <c r="P24" s="266"/>
      <c r="Q24" s="266"/>
      <c r="R24" s="266"/>
      <c r="S24" s="266"/>
    </row>
    <row r="25" spans="2:19" x14ac:dyDescent="0.2">
      <c r="B25" s="244"/>
      <c r="C25" s="257"/>
      <c r="D25" s="257"/>
      <c r="E25" s="261"/>
      <c r="F25" s="262"/>
      <c r="G25" s="266"/>
      <c r="H25" s="286"/>
      <c r="I25" s="300"/>
      <c r="J25" s="301"/>
      <c r="K25" s="266"/>
      <c r="L25" s="46"/>
      <c r="M25" s="257"/>
      <c r="N25" s="266"/>
      <c r="O25" s="266"/>
      <c r="P25" s="266"/>
      <c r="Q25" s="266"/>
      <c r="R25" s="266"/>
      <c r="S25" s="266"/>
    </row>
    <row r="26" spans="2:19" x14ac:dyDescent="0.2">
      <c r="B26" s="244"/>
      <c r="C26" s="257"/>
      <c r="D26" s="257"/>
      <c r="E26" s="261"/>
      <c r="F26" s="262"/>
      <c r="G26" s="266"/>
      <c r="H26" s="297">
        <v>0.05</v>
      </c>
      <c r="I26" s="297">
        <v>0.1</v>
      </c>
      <c r="J26" s="297">
        <v>0.25</v>
      </c>
      <c r="K26" s="266"/>
      <c r="L26" s="46"/>
      <c r="M26" s="257"/>
      <c r="N26" s="266"/>
      <c r="O26" s="266"/>
      <c r="P26" s="266"/>
      <c r="Q26" s="266"/>
      <c r="R26" s="266"/>
      <c r="S26" s="266"/>
    </row>
    <row r="27" spans="2:19" x14ac:dyDescent="0.2">
      <c r="B27" s="245"/>
      <c r="C27" s="258"/>
      <c r="D27" s="258"/>
      <c r="E27" s="263"/>
      <c r="F27" s="264"/>
      <c r="G27" s="267"/>
      <c r="H27" s="258"/>
      <c r="I27" s="258"/>
      <c r="J27" s="258"/>
      <c r="K27" s="267"/>
      <c r="L27" s="47"/>
      <c r="M27" s="258"/>
      <c r="N27" s="267"/>
      <c r="O27" s="267"/>
      <c r="P27" s="267"/>
      <c r="Q27" s="267"/>
      <c r="R27" s="267"/>
      <c r="S27" s="267"/>
    </row>
    <row r="28" spans="2:19" x14ac:dyDescent="0.2">
      <c r="B28" s="33">
        <v>1</v>
      </c>
      <c r="C28" s="33">
        <v>2</v>
      </c>
      <c r="D28" s="33">
        <v>3</v>
      </c>
      <c r="E28" s="284">
        <v>4</v>
      </c>
      <c r="F28" s="296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</row>
    <row r="29" spans="2:19" x14ac:dyDescent="0.2">
      <c r="B29" s="2"/>
      <c r="C29" s="2"/>
      <c r="D29" s="37"/>
      <c r="E29" s="2"/>
      <c r="F29" s="2"/>
      <c r="G29" s="2"/>
      <c r="H29" s="2"/>
      <c r="I29" s="2"/>
      <c r="J29" s="30"/>
      <c r="K29" s="34"/>
      <c r="L29" s="34"/>
      <c r="M29" s="2"/>
      <c r="N29" s="2"/>
      <c r="O29" s="2"/>
      <c r="P29" s="2"/>
      <c r="Q29" s="2"/>
      <c r="R29" s="34"/>
      <c r="S29" s="2"/>
    </row>
    <row r="30" spans="2:19" x14ac:dyDescent="0.2">
      <c r="B30" s="2"/>
      <c r="C30" s="2"/>
      <c r="D30" s="37"/>
      <c r="E30" s="2"/>
      <c r="F30" s="2"/>
      <c r="G30" s="2"/>
      <c r="H30" s="2"/>
      <c r="I30" s="2"/>
      <c r="J30" s="30"/>
      <c r="K30" s="34"/>
      <c r="L30" s="34"/>
      <c r="M30" s="2"/>
      <c r="N30" s="2"/>
      <c r="O30" s="2"/>
      <c r="P30" s="2"/>
      <c r="Q30" s="2"/>
      <c r="R30" s="34"/>
      <c r="S30" s="2"/>
    </row>
    <row r="31" spans="2:19" x14ac:dyDescent="0.2">
      <c r="B31" s="2"/>
      <c r="C31" s="2"/>
      <c r="D31" s="37"/>
      <c r="E31" s="2"/>
      <c r="F31" s="2"/>
      <c r="G31" s="2"/>
      <c r="H31" s="2"/>
      <c r="I31" s="2"/>
      <c r="J31" s="30"/>
      <c r="K31" s="34"/>
      <c r="L31" s="34"/>
      <c r="M31" s="2"/>
      <c r="N31" s="2"/>
      <c r="O31" s="2"/>
      <c r="P31" s="2"/>
      <c r="Q31" s="2"/>
      <c r="R31" s="34"/>
      <c r="S31" s="2"/>
    </row>
    <row r="32" spans="2:19" x14ac:dyDescent="0.2">
      <c r="B32" s="2"/>
      <c r="C32" s="2"/>
      <c r="D32" s="37"/>
      <c r="E32" s="2"/>
      <c r="F32" s="2"/>
      <c r="G32" s="2"/>
      <c r="H32" s="2"/>
      <c r="I32" s="2"/>
      <c r="J32" s="2"/>
      <c r="K32" s="34"/>
      <c r="L32" s="34"/>
      <c r="M32" s="2"/>
      <c r="N32" s="2"/>
      <c r="O32" s="2"/>
      <c r="P32" s="2"/>
      <c r="Q32" s="2"/>
      <c r="R32" s="34"/>
      <c r="S32" s="2"/>
    </row>
    <row r="33" spans="2:19" x14ac:dyDescent="0.2">
      <c r="B33" s="2"/>
      <c r="C33" s="2"/>
      <c r="D33" s="37"/>
      <c r="E33" s="2"/>
      <c r="F33" s="2"/>
      <c r="G33" s="2"/>
      <c r="H33" s="2"/>
      <c r="I33" s="2"/>
      <c r="J33" s="30"/>
      <c r="K33" s="34"/>
      <c r="L33" s="34"/>
      <c r="M33" s="2"/>
      <c r="N33" s="2"/>
      <c r="O33" s="2"/>
      <c r="P33" s="2"/>
      <c r="Q33" s="2"/>
      <c r="R33" s="34"/>
      <c r="S33" s="2"/>
    </row>
    <row r="34" spans="2:19" x14ac:dyDescent="0.2">
      <c r="B34" s="2"/>
      <c r="C34" s="2"/>
      <c r="D34" s="37"/>
      <c r="E34" s="2"/>
      <c r="F34" s="2"/>
      <c r="G34" s="2"/>
      <c r="H34" s="2"/>
      <c r="I34" s="2"/>
      <c r="J34" s="30"/>
      <c r="K34" s="34"/>
      <c r="L34" s="34"/>
      <c r="M34" s="2"/>
      <c r="N34" s="2"/>
      <c r="O34" s="2"/>
      <c r="P34" s="2"/>
      <c r="Q34" s="2"/>
      <c r="R34" s="34"/>
      <c r="S34" s="2"/>
    </row>
    <row r="35" spans="2:19" x14ac:dyDescent="0.2">
      <c r="B35" s="2"/>
      <c r="C35" s="2"/>
      <c r="D35" s="36"/>
      <c r="E35" s="2"/>
      <c r="F35" s="2"/>
      <c r="G35" s="2"/>
      <c r="H35" s="2"/>
      <c r="I35" s="2"/>
      <c r="J35" s="30"/>
      <c r="K35" s="34"/>
      <c r="L35" s="34"/>
      <c r="M35" s="2"/>
      <c r="N35" s="2"/>
      <c r="O35" s="2"/>
      <c r="P35" s="2"/>
      <c r="Q35" s="2"/>
      <c r="R35" s="34">
        <f t="shared" ref="R35:R37" si="0">+J35*0.25</f>
        <v>0</v>
      </c>
      <c r="S35" s="2"/>
    </row>
    <row r="36" spans="2:19" x14ac:dyDescent="0.2">
      <c r="B36" s="2"/>
      <c r="C36" s="2"/>
      <c r="D36" s="36"/>
      <c r="E36" s="2"/>
      <c r="F36" s="2"/>
      <c r="G36" s="2"/>
      <c r="H36" s="2"/>
      <c r="I36" s="2"/>
      <c r="J36" s="30"/>
      <c r="K36" s="34"/>
      <c r="L36" s="34"/>
      <c r="M36" s="2"/>
      <c r="N36" s="2"/>
      <c r="O36" s="2"/>
      <c r="P36" s="2"/>
      <c r="Q36" s="2"/>
      <c r="R36" s="34">
        <f t="shared" si="0"/>
        <v>0</v>
      </c>
      <c r="S36" s="2"/>
    </row>
    <row r="37" spans="2:19" x14ac:dyDescent="0.2">
      <c r="B37" s="2"/>
      <c r="C37" s="2"/>
      <c r="D37" s="37"/>
      <c r="E37" s="2"/>
      <c r="F37" s="2"/>
      <c r="G37" s="2"/>
      <c r="H37" s="2"/>
      <c r="I37" s="2"/>
      <c r="J37" s="30"/>
      <c r="K37" s="34"/>
      <c r="L37" s="34"/>
      <c r="M37" s="2"/>
      <c r="N37" s="2"/>
      <c r="O37" s="2"/>
      <c r="P37" s="2"/>
      <c r="Q37" s="2"/>
      <c r="R37" s="34">
        <f t="shared" si="0"/>
        <v>0</v>
      </c>
      <c r="S37" s="2"/>
    </row>
    <row r="38" spans="2:19" x14ac:dyDescent="0.2">
      <c r="J38" s="35">
        <f>SUM(J29:J37)</f>
        <v>0</v>
      </c>
      <c r="K38" s="35">
        <f>SUM(K29:K37)</f>
        <v>0</v>
      </c>
      <c r="L38" s="35"/>
      <c r="R38" s="35">
        <f>SUM(R29:R37)</f>
        <v>0</v>
      </c>
    </row>
  </sheetData>
  <mergeCells count="36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E28:F28"/>
    <mergeCell ref="M21:M27"/>
    <mergeCell ref="Q23:Q27"/>
    <mergeCell ref="R23:R27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O78"/>
  <sheetViews>
    <sheetView topLeftCell="A10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274" t="str">
        <f>INDEX(PRIJEVODI!B:D,MATCH("ZP-001",PRIJEVODI!A:A,0),MATCH(NASLOV!$B$2,PRIJEVODI!$B$1:$D$1,0))</f>
        <v>FORMULAR ZM</v>
      </c>
      <c r="N2" s="274"/>
      <c r="O2" s="274"/>
    </row>
    <row r="3" spans="2:15" x14ac:dyDescent="0.2">
      <c r="M3" s="274"/>
      <c r="N3" s="274"/>
      <c r="O3" s="274"/>
    </row>
    <row r="5" spans="2:15" x14ac:dyDescent="0.2">
      <c r="K5" s="329" t="str">
        <f>INDEX(PRIJEVODI!B:D,MATCH("ZP-004",PRIJEVODI!A:A,0),MATCH(NASLOV!$B$2,PRIJEVODI!$B$1:$D$1,0))</f>
        <v>STEUERNUMMER (UID)   (3)</v>
      </c>
      <c r="L5" s="331"/>
      <c r="M5" s="323" t="s">
        <v>1</v>
      </c>
      <c r="N5" s="328" t="str">
        <f>+NASLOV!B9</f>
        <v>HR6411581446</v>
      </c>
      <c r="O5" s="283"/>
    </row>
    <row r="6" spans="2:15" x14ac:dyDescent="0.2">
      <c r="B6" s="259" t="str">
        <f>INDEX(PRIJEVODI!B:D,MATCH("ZP-002",PRIJEVODI!A:A,0),MATCH(NASLOV!$B$2,PRIJEVODI!$B$1:$D$1,0))</f>
        <v>ZUSTÄNDIGES FINANZAMT - STEUERVERWALTUNG (1)</v>
      </c>
      <c r="C6" s="260"/>
      <c r="D6" s="335" t="s">
        <v>570</v>
      </c>
      <c r="E6" s="336"/>
      <c r="K6" s="332"/>
      <c r="L6" s="334"/>
      <c r="M6" s="325"/>
      <c r="N6" s="279"/>
      <c r="O6" s="281"/>
    </row>
    <row r="7" spans="2:15" x14ac:dyDescent="0.2">
      <c r="B7" s="261"/>
      <c r="C7" s="262"/>
      <c r="D7" s="337"/>
      <c r="E7" s="338"/>
      <c r="K7" s="259" t="str">
        <f>INDEX(PRIJEVODI!B:D,MATCH("ZP-006",PRIJEVODI!A:A,0),MATCH(NASLOV!$B$2,PRIJEVODI!$B$1:$D$1,0))</f>
        <v>STEUERPFLICHTIGER  (Titel / Name und Nachname)      (4)</v>
      </c>
      <c r="L7" s="260"/>
      <c r="M7" s="284" t="str">
        <f>NASLOV!B5</f>
        <v>Markus Renz</v>
      </c>
      <c r="N7" s="299"/>
      <c r="O7" s="296"/>
    </row>
    <row r="8" spans="2:15" x14ac:dyDescent="0.2">
      <c r="B8" s="263"/>
      <c r="C8" s="264"/>
      <c r="D8" s="339"/>
      <c r="E8" s="340"/>
      <c r="K8" s="261"/>
      <c r="L8" s="262"/>
      <c r="M8" s="285"/>
      <c r="N8" s="302"/>
      <c r="O8" s="303"/>
    </row>
    <row r="9" spans="2:15" x14ac:dyDescent="0.2">
      <c r="B9" s="284" t="str">
        <f>INDEX(PRIJEVODI!B:D,MATCH("ZP-003",PRIJEVODI!A:A,0),MATCH(NASLOV!$B$2,PRIJEVODI!$B$1:$D$1,0))</f>
        <v>REGIONALBÜRO  (2)</v>
      </c>
      <c r="C9" s="296"/>
      <c r="D9" s="335" t="s">
        <v>571</v>
      </c>
      <c r="E9" s="336"/>
      <c r="K9" s="263"/>
      <c r="L9" s="264"/>
      <c r="M9" s="286"/>
      <c r="N9" s="300"/>
      <c r="O9" s="301"/>
    </row>
    <row r="10" spans="2:15" x14ac:dyDescent="0.2">
      <c r="B10" s="285"/>
      <c r="C10" s="303"/>
      <c r="D10" s="337"/>
      <c r="E10" s="338"/>
      <c r="K10" s="329" t="str">
        <f>INDEX(PRIJEVODI!B:D,MATCH("ZP-007",PRIJEVODI!A:A,0),MATCH(NASLOV!$B$2,PRIJEVODI!$B$1:$D$1,0))</f>
        <v>Adresse (Ort, Strasse und Hausnummer)    (5)</v>
      </c>
      <c r="L10" s="331"/>
      <c r="M10" s="329" t="str">
        <f>NASLOV!B7</f>
        <v>Am Sonnblick 6, Lichtenau</v>
      </c>
      <c r="N10" s="330"/>
      <c r="O10" s="331"/>
    </row>
    <row r="11" spans="2:15" x14ac:dyDescent="0.2">
      <c r="B11" s="286"/>
      <c r="C11" s="301"/>
      <c r="D11" s="339"/>
      <c r="E11" s="340"/>
      <c r="K11" s="332"/>
      <c r="L11" s="334"/>
      <c r="M11" s="332"/>
      <c r="N11" s="333"/>
      <c r="O11" s="334"/>
    </row>
    <row r="12" spans="2:15" x14ac:dyDescent="0.2">
      <c r="K12" s="259" t="str">
        <f>INDEX(PRIJEVODI!B:D,MATCH("ZP-008",PRIJEVODI!A:A,0),MATCH(NASLOV!$B$2,PRIJEVODI!$B$1:$D$1,0))</f>
        <v>Steuernummer UID des Steuervertreters   (6)</v>
      </c>
      <c r="L12" s="260"/>
      <c r="M12" s="323" t="s">
        <v>1</v>
      </c>
      <c r="N12" s="328"/>
      <c r="O12" s="283"/>
    </row>
    <row r="13" spans="2:15" x14ac:dyDescent="0.2">
      <c r="K13" s="263"/>
      <c r="L13" s="264"/>
      <c r="M13" s="325"/>
      <c r="N13" s="279"/>
      <c r="O13" s="281"/>
    </row>
    <row r="19" spans="2:15" x14ac:dyDescent="0.2">
      <c r="E19" s="6"/>
      <c r="F19" s="6"/>
      <c r="G19" s="273" t="str">
        <f>INDEX(PRIJEVODI!B:D,MATCH("ZP-010",PRIJEVODI!A:A,0),MATCH(NASLOV!$B$2,PRIJEVODI!$B$1:$D$1,0))</f>
        <v>Zusammenfassende Meldung IG Lieferung</v>
      </c>
      <c r="H19" s="273"/>
      <c r="I19" s="273"/>
      <c r="J19" s="273"/>
      <c r="K19" s="6"/>
      <c r="L19" s="6"/>
      <c r="M19" s="6"/>
    </row>
    <row r="20" spans="2:15" x14ac:dyDescent="0.2">
      <c r="E20" s="6"/>
      <c r="F20" s="6"/>
      <c r="G20" s="273"/>
      <c r="H20" s="273"/>
      <c r="I20" s="273"/>
      <c r="J20" s="273"/>
      <c r="K20" s="6"/>
      <c r="L20" s="6"/>
      <c r="M20" s="6"/>
    </row>
    <row r="21" spans="2:15" x14ac:dyDescent="0.2">
      <c r="E21" s="6"/>
      <c r="F21" s="6"/>
      <c r="G21" s="6"/>
      <c r="H21" s="6"/>
      <c r="I21" s="6"/>
      <c r="J21" s="6"/>
      <c r="K21" s="6"/>
      <c r="L21" s="6"/>
      <c r="M21" s="6"/>
    </row>
    <row r="22" spans="2:15" x14ac:dyDescent="0.2">
      <c r="E22" s="6"/>
      <c r="F22" s="6"/>
      <c r="G22" s="6"/>
      <c r="H22" s="6"/>
      <c r="I22" s="6"/>
      <c r="J22" s="6"/>
      <c r="K22" s="6"/>
      <c r="L22" s="6"/>
      <c r="M22" s="6"/>
    </row>
    <row r="23" spans="2:15" x14ac:dyDescent="0.2">
      <c r="E23" s="341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341"/>
      <c r="G23" s="341"/>
      <c r="H23" s="341"/>
      <c r="I23" s="341"/>
      <c r="J23" s="341"/>
      <c r="K23" s="341"/>
      <c r="L23" s="341"/>
      <c r="M23" s="341"/>
    </row>
    <row r="24" spans="2:15" x14ac:dyDescent="0.2">
      <c r="E24" s="341"/>
      <c r="F24" s="341"/>
      <c r="G24" s="341"/>
      <c r="H24" s="341"/>
      <c r="I24" s="341"/>
      <c r="J24" s="341"/>
      <c r="K24" s="341"/>
      <c r="L24" s="341"/>
      <c r="M24" s="341"/>
    </row>
    <row r="25" spans="2:15" x14ac:dyDescent="0.2">
      <c r="E25" s="341"/>
      <c r="F25" s="341"/>
      <c r="G25" s="341"/>
      <c r="H25" s="341"/>
      <c r="I25" s="341"/>
      <c r="J25" s="341"/>
      <c r="K25" s="341"/>
      <c r="L25" s="341"/>
      <c r="M25" s="341"/>
    </row>
    <row r="28" spans="2:15" x14ac:dyDescent="0.2">
      <c r="B28" s="265" t="str">
        <f>INDEX(PRIJEVODI!B:D,MATCH("ZP-012",PRIJEVODI!A:A,0),MATCH(NASLOV!$B$2,PRIJEVODI!$B$1:$D$1,0))</f>
        <v>Ordnungsnummer (8)</v>
      </c>
      <c r="C28" s="265" t="str">
        <f>INDEX(PRIJEVODI!B:D,MATCH("ZP-013",PRIJEVODI!A:A,0),MATCH(NASLOV!$B$2,PRIJEVODI!$B$1:$D$1,0))</f>
        <v>Landescode (9)</v>
      </c>
      <c r="D28" s="259" t="str">
        <f>INDEX(PRIJEVODI!B:D,MATCH("ZP-014",PRIJEVODI!A:A,0),MATCH(NASLOV!$B$2,PRIJEVODI!$B$1:$D$1,0))</f>
        <v>Steuernummer UID des Empfängers (ohne Landesvorwahl)   (10)</v>
      </c>
      <c r="E28" s="260"/>
      <c r="F28" s="259" t="str">
        <f>INDEX(PRIJEVODI!B:D,MATCH("ZP-015",PRIJEVODI!A:A,0),MATCH(NASLOV!$B$2,PRIJEVODI!$B$1:$D$1,0))</f>
        <v>Wert der Güterlieferung (in Kuna und Lipa)    (11)</v>
      </c>
      <c r="G28" s="260"/>
      <c r="H28" s="259" t="str">
        <f>INDEX(PRIJEVODI!B:D,MATCH("ZP-016",PRIJEVODI!A:A,0),MATCH(NASLOV!$B$2,PRIJEVODI!$B$1:$D$1,0))</f>
        <v>Wert der Güterlieferung unter dem Verfahren 42 und 63 (in Kuna und Lipa)   (12)</v>
      </c>
      <c r="I28" s="260"/>
      <c r="J28" s="259" t="str">
        <f>INDEX(PRIJEVODI!B:D,MATCH("ZP-017",PRIJEVODI!A:A,0),MATCH(NASLOV!$B$2,PRIJEVODI!$B$1:$D$1,0))</f>
        <v>Wert der Güterlieferung im Rahmen des Dreiecksgeschäft  (in Kuna und Lipa)   (13)</v>
      </c>
      <c r="K28" s="342"/>
      <c r="L28" s="260"/>
      <c r="M28" s="259" t="str">
        <f>INDEX(PRIJEVODI!B:D,MATCH("ZP-018",PRIJEVODI!A:A,0),MATCH(NASLOV!$B$2,PRIJEVODI!$B$1:$D$1,0))</f>
        <v>Wert der erbrachten Dienstleistungen (in Kuna und Lipa)  (14)</v>
      </c>
      <c r="N28" s="342"/>
      <c r="O28" s="260"/>
    </row>
    <row r="29" spans="2:15" x14ac:dyDescent="0.2">
      <c r="B29" s="266"/>
      <c r="C29" s="266"/>
      <c r="D29" s="261"/>
      <c r="E29" s="262"/>
      <c r="F29" s="261"/>
      <c r="G29" s="262"/>
      <c r="H29" s="261"/>
      <c r="I29" s="262"/>
      <c r="J29" s="261"/>
      <c r="K29" s="343"/>
      <c r="L29" s="262"/>
      <c r="M29" s="261"/>
      <c r="N29" s="343"/>
      <c r="O29" s="262"/>
    </row>
    <row r="30" spans="2:15" x14ac:dyDescent="0.2">
      <c r="B30" s="266"/>
      <c r="C30" s="266"/>
      <c r="D30" s="261"/>
      <c r="E30" s="262"/>
      <c r="F30" s="261"/>
      <c r="G30" s="262"/>
      <c r="H30" s="261"/>
      <c r="I30" s="262"/>
      <c r="J30" s="261"/>
      <c r="K30" s="343"/>
      <c r="L30" s="262"/>
      <c r="M30" s="261"/>
      <c r="N30" s="343"/>
      <c r="O30" s="262"/>
    </row>
    <row r="31" spans="2:15" x14ac:dyDescent="0.2">
      <c r="B31" s="266"/>
      <c r="C31" s="266"/>
      <c r="D31" s="261"/>
      <c r="E31" s="262"/>
      <c r="F31" s="261"/>
      <c r="G31" s="262"/>
      <c r="H31" s="261"/>
      <c r="I31" s="262"/>
      <c r="J31" s="261"/>
      <c r="K31" s="343"/>
      <c r="L31" s="262"/>
      <c r="M31" s="261"/>
      <c r="N31" s="343"/>
      <c r="O31" s="262"/>
    </row>
    <row r="32" spans="2:15" x14ac:dyDescent="0.2">
      <c r="B32" s="266"/>
      <c r="C32" s="266"/>
      <c r="D32" s="261"/>
      <c r="E32" s="262"/>
      <c r="F32" s="261"/>
      <c r="G32" s="262"/>
      <c r="H32" s="261"/>
      <c r="I32" s="262"/>
      <c r="J32" s="261"/>
      <c r="K32" s="343"/>
      <c r="L32" s="262"/>
      <c r="M32" s="261"/>
      <c r="N32" s="343"/>
      <c r="O32" s="262"/>
    </row>
    <row r="33" spans="2:15" x14ac:dyDescent="0.2">
      <c r="B33" s="266"/>
      <c r="C33" s="266"/>
      <c r="D33" s="261"/>
      <c r="E33" s="262"/>
      <c r="F33" s="261"/>
      <c r="G33" s="262"/>
      <c r="H33" s="261"/>
      <c r="I33" s="262"/>
      <c r="J33" s="261"/>
      <c r="K33" s="343"/>
      <c r="L33" s="262"/>
      <c r="M33" s="261"/>
      <c r="N33" s="343"/>
      <c r="O33" s="262"/>
    </row>
    <row r="34" spans="2:15" x14ac:dyDescent="0.2">
      <c r="B34" s="266"/>
      <c r="C34" s="266"/>
      <c r="D34" s="261"/>
      <c r="E34" s="262"/>
      <c r="F34" s="261"/>
      <c r="G34" s="262"/>
      <c r="H34" s="261"/>
      <c r="I34" s="262"/>
      <c r="J34" s="261"/>
      <c r="K34" s="343"/>
      <c r="L34" s="262"/>
      <c r="M34" s="261"/>
      <c r="N34" s="343"/>
      <c r="O34" s="262"/>
    </row>
    <row r="35" spans="2:15" x14ac:dyDescent="0.2">
      <c r="B35" s="266"/>
      <c r="C35" s="266"/>
      <c r="D35" s="261"/>
      <c r="E35" s="262"/>
      <c r="F35" s="261"/>
      <c r="G35" s="262"/>
      <c r="H35" s="261"/>
      <c r="I35" s="262"/>
      <c r="J35" s="261"/>
      <c r="K35" s="343"/>
      <c r="L35" s="262"/>
      <c r="M35" s="261"/>
      <c r="N35" s="343"/>
      <c r="O35" s="262"/>
    </row>
    <row r="36" spans="2:15" x14ac:dyDescent="0.2">
      <c r="B36" s="266"/>
      <c r="C36" s="266"/>
      <c r="D36" s="261"/>
      <c r="E36" s="262"/>
      <c r="F36" s="261"/>
      <c r="G36" s="262"/>
      <c r="H36" s="261"/>
      <c r="I36" s="262"/>
      <c r="J36" s="261"/>
      <c r="K36" s="343"/>
      <c r="L36" s="262"/>
      <c r="M36" s="261"/>
      <c r="N36" s="343"/>
      <c r="O36" s="262"/>
    </row>
    <row r="37" spans="2:15" x14ac:dyDescent="0.2">
      <c r="B37" s="267"/>
      <c r="C37" s="267"/>
      <c r="D37" s="263"/>
      <c r="E37" s="264"/>
      <c r="F37" s="263"/>
      <c r="G37" s="264"/>
      <c r="H37" s="263"/>
      <c r="I37" s="264"/>
      <c r="J37" s="263"/>
      <c r="K37" s="344"/>
      <c r="L37" s="264"/>
      <c r="M37" s="263"/>
      <c r="N37" s="344"/>
      <c r="O37" s="264"/>
    </row>
    <row r="38" spans="2:15" x14ac:dyDescent="0.2">
      <c r="B38" s="2"/>
      <c r="C38" s="2"/>
      <c r="D38" s="345"/>
      <c r="E38" s="346"/>
      <c r="F38" s="348"/>
      <c r="G38" s="349"/>
      <c r="H38" s="345"/>
      <c r="I38" s="347"/>
      <c r="J38" s="345"/>
      <c r="K38" s="347"/>
      <c r="L38" s="346"/>
      <c r="M38" s="345"/>
      <c r="N38" s="347"/>
      <c r="O38" s="346"/>
    </row>
    <row r="39" spans="2:15" x14ac:dyDescent="0.2">
      <c r="B39" s="2"/>
      <c r="C39" s="2"/>
      <c r="D39" s="345"/>
      <c r="E39" s="346"/>
      <c r="F39" s="348"/>
      <c r="G39" s="349"/>
      <c r="H39" s="345"/>
      <c r="I39" s="347"/>
      <c r="J39" s="345"/>
      <c r="K39" s="347"/>
      <c r="L39" s="346"/>
      <c r="M39" s="345"/>
      <c r="N39" s="347"/>
      <c r="O39" s="346"/>
    </row>
    <row r="40" spans="2:15" x14ac:dyDescent="0.2">
      <c r="B40" s="2"/>
      <c r="C40" s="2"/>
      <c r="D40" s="345"/>
      <c r="E40" s="346"/>
      <c r="F40" s="348"/>
      <c r="G40" s="349"/>
      <c r="H40" s="345"/>
      <c r="I40" s="347"/>
      <c r="J40" s="345"/>
      <c r="K40" s="347"/>
      <c r="L40" s="346"/>
      <c r="M40" s="345"/>
      <c r="N40" s="347"/>
      <c r="O40" s="346"/>
    </row>
    <row r="41" spans="2:15" x14ac:dyDescent="0.2">
      <c r="B41" s="2"/>
      <c r="C41" s="2"/>
      <c r="D41" s="345"/>
      <c r="E41" s="346"/>
      <c r="F41" s="348"/>
      <c r="G41" s="349"/>
      <c r="H41" s="345"/>
      <c r="I41" s="347"/>
      <c r="J41" s="345"/>
      <c r="K41" s="347"/>
      <c r="L41" s="346"/>
      <c r="M41" s="345"/>
      <c r="N41" s="347"/>
      <c r="O41" s="346"/>
    </row>
    <row r="42" spans="2:15" x14ac:dyDescent="0.2">
      <c r="B42" s="2"/>
      <c r="C42" s="2"/>
      <c r="D42" s="345"/>
      <c r="E42" s="346"/>
      <c r="F42" s="348"/>
      <c r="G42" s="349"/>
      <c r="H42" s="345"/>
      <c r="I42" s="347"/>
      <c r="J42" s="345"/>
      <c r="K42" s="347"/>
      <c r="L42" s="346"/>
      <c r="M42" s="345"/>
      <c r="N42" s="347"/>
      <c r="O42" s="346"/>
    </row>
    <row r="43" spans="2:15" x14ac:dyDescent="0.2">
      <c r="B43" s="2"/>
      <c r="C43" s="2"/>
      <c r="D43" s="345"/>
      <c r="E43" s="346"/>
      <c r="F43" s="348"/>
      <c r="G43" s="349"/>
      <c r="H43" s="345"/>
      <c r="I43" s="347"/>
      <c r="J43" s="345"/>
      <c r="K43" s="347"/>
      <c r="L43" s="346"/>
      <c r="M43" s="345"/>
      <c r="N43" s="347"/>
      <c r="O43" s="346"/>
    </row>
    <row r="44" spans="2:15" x14ac:dyDescent="0.2">
      <c r="B44" s="2"/>
      <c r="C44" s="2"/>
      <c r="D44" s="345"/>
      <c r="E44" s="346"/>
      <c r="F44" s="348"/>
      <c r="G44" s="349"/>
      <c r="H44" s="345"/>
      <c r="I44" s="347"/>
      <c r="J44" s="345"/>
      <c r="K44" s="347"/>
      <c r="L44" s="346"/>
      <c r="M44" s="345"/>
      <c r="N44" s="347"/>
      <c r="O44" s="346"/>
    </row>
    <row r="45" spans="2:15" x14ac:dyDescent="0.2">
      <c r="B45" s="2"/>
      <c r="C45" s="2"/>
      <c r="D45" s="345"/>
      <c r="E45" s="346"/>
      <c r="F45" s="345"/>
      <c r="G45" s="346"/>
      <c r="H45" s="345"/>
      <c r="I45" s="347"/>
      <c r="J45" s="345"/>
      <c r="K45" s="347"/>
      <c r="L45" s="346"/>
      <c r="M45" s="345"/>
      <c r="N45" s="347"/>
      <c r="O45" s="346"/>
    </row>
    <row r="46" spans="2:15" x14ac:dyDescent="0.2">
      <c r="B46" s="2"/>
      <c r="C46" s="2"/>
      <c r="D46" s="345"/>
      <c r="E46" s="346"/>
      <c r="F46" s="345"/>
      <c r="G46" s="346"/>
      <c r="H46" s="345"/>
      <c r="I46" s="347"/>
      <c r="J46" s="345"/>
      <c r="K46" s="347"/>
      <c r="L46" s="346"/>
      <c r="M46" s="345"/>
      <c r="N46" s="347"/>
      <c r="O46" s="346"/>
    </row>
    <row r="47" spans="2:15" x14ac:dyDescent="0.2">
      <c r="B47" s="2"/>
      <c r="C47" s="2"/>
      <c r="D47" s="345"/>
      <c r="E47" s="346"/>
      <c r="F47" s="345"/>
      <c r="G47" s="346"/>
      <c r="H47" s="345"/>
      <c r="I47" s="347"/>
      <c r="J47" s="345"/>
      <c r="K47" s="347"/>
      <c r="L47" s="346"/>
      <c r="M47" s="345"/>
      <c r="N47" s="347"/>
      <c r="O47" s="346"/>
    </row>
    <row r="48" spans="2:15" x14ac:dyDescent="0.2">
      <c r="B48" s="2"/>
      <c r="C48" s="2"/>
      <c r="D48" s="345"/>
      <c r="E48" s="346"/>
      <c r="F48" s="345"/>
      <c r="G48" s="346"/>
      <c r="H48" s="345"/>
      <c r="I48" s="347"/>
      <c r="J48" s="345"/>
      <c r="K48" s="347"/>
      <c r="L48" s="346"/>
      <c r="M48" s="345"/>
      <c r="N48" s="347"/>
      <c r="O48" s="346"/>
    </row>
    <row r="49" spans="2:15" x14ac:dyDescent="0.2">
      <c r="B49" s="2"/>
      <c r="C49" s="2"/>
      <c r="D49" s="345"/>
      <c r="E49" s="346"/>
      <c r="F49" s="345"/>
      <c r="G49" s="346"/>
      <c r="H49" s="345"/>
      <c r="I49" s="347"/>
      <c r="J49" s="345"/>
      <c r="K49" s="347"/>
      <c r="L49" s="346"/>
      <c r="M49" s="345"/>
      <c r="N49" s="347"/>
      <c r="O49" s="346"/>
    </row>
    <row r="50" spans="2:15" x14ac:dyDescent="0.2">
      <c r="B50" s="2"/>
      <c r="C50" s="2"/>
      <c r="D50" s="345"/>
      <c r="E50" s="346"/>
      <c r="F50" s="350"/>
      <c r="G50" s="351"/>
      <c r="H50" s="345"/>
      <c r="I50" s="347"/>
      <c r="J50" s="345"/>
      <c r="K50" s="347"/>
      <c r="L50" s="346"/>
      <c r="M50" s="345"/>
      <c r="N50" s="347"/>
      <c r="O50" s="346"/>
    </row>
    <row r="51" spans="2:15" x14ac:dyDescent="0.2">
      <c r="B51" s="2"/>
      <c r="C51" s="2"/>
      <c r="D51" s="345"/>
      <c r="E51" s="346"/>
      <c r="F51" s="345"/>
      <c r="G51" s="346"/>
      <c r="H51" s="345"/>
      <c r="I51" s="347"/>
      <c r="J51" s="345"/>
      <c r="K51" s="347"/>
      <c r="L51" s="346"/>
      <c r="M51" s="345"/>
      <c r="N51" s="347"/>
      <c r="O51" s="346"/>
    </row>
    <row r="52" spans="2:15" x14ac:dyDescent="0.2">
      <c r="B52" s="2"/>
      <c r="C52" s="2"/>
      <c r="D52" s="345"/>
      <c r="E52" s="346"/>
      <c r="F52" s="345"/>
      <c r="G52" s="346"/>
      <c r="H52" s="345"/>
      <c r="I52" s="347"/>
      <c r="J52" s="345"/>
      <c r="K52" s="347"/>
      <c r="L52" s="346"/>
      <c r="M52" s="345"/>
      <c r="N52" s="347"/>
      <c r="O52" s="346"/>
    </row>
    <row r="53" spans="2:15" x14ac:dyDescent="0.2">
      <c r="B53" s="2"/>
      <c r="C53" s="2"/>
      <c r="D53" s="345"/>
      <c r="E53" s="346"/>
      <c r="F53" s="345"/>
      <c r="G53" s="346"/>
      <c r="H53" s="345"/>
      <c r="I53" s="347"/>
      <c r="J53" s="345"/>
      <c r="K53" s="347"/>
      <c r="L53" s="346"/>
      <c r="M53" s="345"/>
      <c r="N53" s="347"/>
      <c r="O53" s="346"/>
    </row>
    <row r="54" spans="2:15" x14ac:dyDescent="0.2">
      <c r="B54" s="2"/>
      <c r="C54" s="2"/>
      <c r="D54" s="345"/>
      <c r="E54" s="346"/>
      <c r="F54" s="345"/>
      <c r="G54" s="346"/>
      <c r="H54" s="345"/>
      <c r="I54" s="347"/>
      <c r="J54" s="345"/>
      <c r="K54" s="347"/>
      <c r="L54" s="346"/>
      <c r="M54" s="345"/>
      <c r="N54" s="347"/>
      <c r="O54" s="346"/>
    </row>
    <row r="55" spans="2:15" x14ac:dyDescent="0.2">
      <c r="B55" s="2"/>
      <c r="C55" s="2"/>
      <c r="D55" s="345"/>
      <c r="E55" s="346"/>
      <c r="F55" s="345"/>
      <c r="G55" s="346"/>
      <c r="H55" s="345"/>
      <c r="I55" s="347"/>
      <c r="J55" s="345"/>
      <c r="K55" s="347"/>
      <c r="L55" s="346"/>
      <c r="M55" s="345"/>
      <c r="N55" s="347"/>
      <c r="O55" s="346"/>
    </row>
    <row r="56" spans="2:15" x14ac:dyDescent="0.2">
      <c r="B56" s="2"/>
      <c r="C56" s="2"/>
      <c r="D56" s="345"/>
      <c r="E56" s="346"/>
      <c r="F56" s="345"/>
      <c r="G56" s="346"/>
      <c r="H56" s="345"/>
      <c r="I56" s="347"/>
      <c r="J56" s="345"/>
      <c r="K56" s="347"/>
      <c r="L56" s="346"/>
      <c r="M56" s="345"/>
      <c r="N56" s="347"/>
      <c r="O56" s="346"/>
    </row>
    <row r="57" spans="2:15" x14ac:dyDescent="0.2">
      <c r="B57" s="2"/>
      <c r="C57" s="2"/>
      <c r="D57" s="345"/>
      <c r="E57" s="346"/>
      <c r="F57" s="345"/>
      <c r="G57" s="346"/>
      <c r="H57" s="345"/>
      <c r="I57" s="347"/>
      <c r="J57" s="345"/>
      <c r="K57" s="347"/>
      <c r="L57" s="346"/>
      <c r="M57" s="345"/>
      <c r="N57" s="347"/>
      <c r="O57" s="346"/>
    </row>
    <row r="58" spans="2:15" x14ac:dyDescent="0.2">
      <c r="B58" s="2"/>
      <c r="C58" s="2"/>
      <c r="D58" s="345"/>
      <c r="E58" s="346"/>
      <c r="F58" s="345"/>
      <c r="G58" s="346"/>
      <c r="H58" s="345"/>
      <c r="I58" s="347"/>
      <c r="J58" s="345"/>
      <c r="K58" s="347"/>
      <c r="L58" s="346"/>
      <c r="M58" s="345"/>
      <c r="N58" s="347"/>
      <c r="O58" s="346"/>
    </row>
    <row r="59" spans="2:15" x14ac:dyDescent="0.2">
      <c r="B59" s="2"/>
      <c r="C59" s="2"/>
      <c r="D59" s="345"/>
      <c r="E59" s="346"/>
      <c r="F59" s="345"/>
      <c r="G59" s="346"/>
      <c r="H59" s="345"/>
      <c r="I59" s="347"/>
      <c r="J59" s="345"/>
      <c r="K59" s="347"/>
      <c r="L59" s="346"/>
      <c r="M59" s="345"/>
      <c r="N59" s="347"/>
      <c r="O59" s="346"/>
    </row>
    <row r="60" spans="2:15" x14ac:dyDescent="0.2">
      <c r="B60" s="2"/>
      <c r="C60" s="2"/>
      <c r="D60" s="345"/>
      <c r="E60" s="346"/>
      <c r="F60" s="345"/>
      <c r="G60" s="346"/>
      <c r="H60" s="345"/>
      <c r="I60" s="347"/>
      <c r="J60" s="345"/>
      <c r="K60" s="347"/>
      <c r="L60" s="346"/>
      <c r="M60" s="345"/>
      <c r="N60" s="347"/>
      <c r="O60" s="346"/>
    </row>
    <row r="61" spans="2:15" x14ac:dyDescent="0.2">
      <c r="B61" s="2"/>
      <c r="C61" s="2"/>
      <c r="D61" s="345"/>
      <c r="E61" s="346"/>
      <c r="F61" s="345"/>
      <c r="G61" s="346"/>
      <c r="H61" s="345"/>
      <c r="I61" s="347"/>
      <c r="J61" s="345"/>
      <c r="K61" s="347"/>
      <c r="L61" s="346"/>
      <c r="M61" s="345"/>
      <c r="N61" s="347"/>
      <c r="O61" s="346"/>
    </row>
    <row r="62" spans="2:15" x14ac:dyDescent="0.2">
      <c r="B62" s="2"/>
      <c r="C62" s="2"/>
      <c r="D62" s="345"/>
      <c r="E62" s="346"/>
      <c r="F62" s="345"/>
      <c r="G62" s="346"/>
      <c r="H62" s="345"/>
      <c r="I62" s="347"/>
      <c r="J62" s="345"/>
      <c r="K62" s="347"/>
      <c r="L62" s="346"/>
      <c r="M62" s="345"/>
      <c r="N62" s="347"/>
      <c r="O62" s="346"/>
    </row>
    <row r="63" spans="2:15" x14ac:dyDescent="0.2">
      <c r="B63" s="328" t="str">
        <f>INDEX(PRIJEVODI!B:D,MATCH("ZP-019",PRIJEVODI!A:A,0),MATCH(NASLOV!$B$2,PRIJEVODI!$B$1:$D$1,0))</f>
        <v>Gesamtwert</v>
      </c>
      <c r="C63" s="277"/>
      <c r="D63" s="277"/>
      <c r="E63" s="283"/>
      <c r="F63" s="328" t="s">
        <v>2</v>
      </c>
      <c r="G63" s="283"/>
      <c r="H63" s="328" t="s">
        <v>3</v>
      </c>
      <c r="I63" s="283"/>
      <c r="J63" s="328" t="s">
        <v>4</v>
      </c>
      <c r="K63" s="277"/>
      <c r="L63" s="283"/>
      <c r="M63" s="328" t="s">
        <v>5</v>
      </c>
      <c r="N63" s="277"/>
      <c r="O63" s="283"/>
    </row>
    <row r="64" spans="2:15" ht="25.5" customHeight="1" x14ac:dyDescent="0.2">
      <c r="B64" s="279"/>
      <c r="C64" s="280"/>
      <c r="D64" s="280"/>
      <c r="E64" s="281"/>
      <c r="F64" s="279"/>
      <c r="G64" s="281"/>
      <c r="H64" s="279"/>
      <c r="I64" s="281"/>
      <c r="J64" s="279"/>
      <c r="K64" s="280"/>
      <c r="L64" s="281"/>
      <c r="M64" s="279"/>
      <c r="N64" s="280"/>
      <c r="O64" s="281"/>
    </row>
    <row r="75" spans="2:15" x14ac:dyDescent="0.2">
      <c r="B75" s="284" t="str">
        <f>INDEX(PRIJEVODI!B:D,MATCH("ZP-020",PRIJEVODI!A:A,0),MATCH(NASLOV!$B$2,PRIJEVODI!$B$1:$D$1,0))</f>
        <v>Hiermit bestätige ich die Richtigkeit der genannten Daten</v>
      </c>
      <c r="C75" s="299"/>
      <c r="D75" s="299"/>
      <c r="E75" s="299"/>
      <c r="F75" s="299"/>
      <c r="G75" s="299"/>
      <c r="H75" s="296"/>
      <c r="K75" s="259" t="str">
        <f>INDEX(PRIJEVODI!B:D,MATCH("ZP-022",PRIJEVODI!A:A,0),MATCH(NASLOV!$B$2,PRIJEVODI!$B$1:$D$1,0))</f>
        <v>Unterschrift    (20)</v>
      </c>
      <c r="L75" s="260"/>
      <c r="M75" s="284"/>
      <c r="N75" s="299"/>
      <c r="O75" s="296"/>
    </row>
    <row r="76" spans="2:15" x14ac:dyDescent="0.2">
      <c r="B76" s="286"/>
      <c r="C76" s="300"/>
      <c r="D76" s="300"/>
      <c r="E76" s="300"/>
      <c r="F76" s="300"/>
      <c r="G76" s="300"/>
      <c r="H76" s="301"/>
      <c r="K76" s="263"/>
      <c r="L76" s="264"/>
      <c r="M76" s="286"/>
      <c r="N76" s="300"/>
      <c r="O76" s="301"/>
    </row>
    <row r="77" spans="2:15" x14ac:dyDescent="0.2">
      <c r="B77" s="259" t="str">
        <f>INDEX(PRIJEVODI!B:D,MATCH("ZP-021",PRIJEVODI!A:A,0),MATCH(NASLOV!$B$2,PRIJEVODI!$B$1:$D$1,0))</f>
        <v>Berechnung verfasst von (Name und Nachname)  (19)</v>
      </c>
      <c r="C77" s="342"/>
      <c r="D77" s="260"/>
      <c r="E77" s="284" t="s">
        <v>568</v>
      </c>
      <c r="F77" s="299"/>
      <c r="G77" s="299"/>
      <c r="H77" s="296"/>
      <c r="K77" s="259" t="str">
        <f>INDEX(PRIJEVODI!B:D,MATCH("ZP-023",PRIJEVODI!A:A,0),MATCH(NASLOV!$B$2,PRIJEVODI!$B$1:$D$1,0))</f>
        <v>Telefonnummer / Fax /E-Mail  (21)</v>
      </c>
      <c r="L77" s="260"/>
      <c r="M77" s="352" t="s">
        <v>569</v>
      </c>
      <c r="N77" s="342"/>
      <c r="O77" s="260"/>
    </row>
    <row r="78" spans="2:15" ht="27" customHeight="1" x14ac:dyDescent="0.2">
      <c r="B78" s="263"/>
      <c r="C78" s="344"/>
      <c r="D78" s="264"/>
      <c r="E78" s="286"/>
      <c r="F78" s="300"/>
      <c r="G78" s="300"/>
      <c r="H78" s="301"/>
      <c r="K78" s="263"/>
      <c r="L78" s="264"/>
      <c r="M78" s="263"/>
      <c r="N78" s="344"/>
      <c r="O78" s="264"/>
    </row>
  </sheetData>
  <mergeCells count="161"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</mergeCells>
  <hyperlinks>
    <hyperlink ref="M77" r:id="rId1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4</vt:i4>
      </vt:variant>
    </vt:vector>
  </HeadingPairs>
  <TitlesOfParts>
    <vt:vector size="16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'IC Aq'!Druckbereich</vt:lpstr>
      <vt:lpstr>'I-RA'!Druckbereich</vt:lpstr>
      <vt:lpstr>PDV!Druckbereich</vt:lpstr>
      <vt:lpstr>'U-RA'!Druckbereich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Markus Reinhard Renz</cp:lastModifiedBy>
  <cp:lastPrinted>2024-06-03T17:30:54Z</cp:lastPrinted>
  <dcterms:created xsi:type="dcterms:W3CDTF">2013-07-05T09:42:56Z</dcterms:created>
  <dcterms:modified xsi:type="dcterms:W3CDTF">2024-08-13T10:09:44Z</dcterms:modified>
</cp:coreProperties>
</file>